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hoaki\Tampereen seutu\Talouspalvelut VES - General\Raportointi\Talousraportointi\2022\06 Kesäkuu 2022\"/>
    </mc:Choice>
  </mc:AlternateContent>
  <xr:revisionPtr revIDLastSave="201" documentId="8_{5C24FA3C-B799-4B40-88FB-0766616D334F}" xr6:coauthVersionLast="36" xr6:coauthVersionMax="47" xr10:uidLastSave="{6FD05A21-CF1E-4071-915D-1808127966DF}"/>
  <bookViews>
    <workbookView xWindow="-120" yWindow="-120" windowWidth="29040" windowHeight="17640" firstSheet="1" activeTab="2" xr2:uid="{00000000-000D-0000-FFFF-FFFF00000000}"/>
  </bookViews>
  <sheets>
    <sheet name="Investoinnit 2020 Vanha" sheetId="4" state="hidden" r:id="rId1"/>
    <sheet name="Investoinnit 6_2022_Esitys" sheetId="21" r:id="rId2"/>
    <sheet name="Investoinnit 6_2022" sheetId="19" r:id="rId3"/>
    <sheet name="Investoinnit 2022" sheetId="16" r:id="rId4"/>
  </sheets>
  <definedNames>
    <definedName name="HTML_CodePage" hidden="1">1252</definedName>
    <definedName name="HTML_Control" hidden="1">{"'vastuut'!$B$1:$J$16"}</definedName>
    <definedName name="HTML_Description" hidden="1">""</definedName>
    <definedName name="HTML_Email" hidden="1">""</definedName>
    <definedName name="HTML_Header" hidden="1">""</definedName>
    <definedName name="HTML_LastUpdate" hidden="1">"18.9.2001"</definedName>
    <definedName name="HTML_LineAfter" hidden="1">FALSE</definedName>
    <definedName name="HTML_LineBefore" hidden="1">FALSE</definedName>
    <definedName name="HTML_Name" hidden="1">"Heli Kiuru"</definedName>
    <definedName name="HTML_OBDlg2" hidden="1">TRUE</definedName>
    <definedName name="HTML_OBDlg4" hidden="1">TRUE</definedName>
    <definedName name="HTML_OS" hidden="1">0</definedName>
    <definedName name="HTML_PathFile" hidden="1">"C:\Webbikansio\totteto08.htm"</definedName>
    <definedName name="HTML_Title" hidden="1">"teto08"</definedName>
    <definedName name="_xlnm.Print_Area" localSheetId="0">'Investoinnit 2020 Vanha'!$A$1:$Q$76</definedName>
  </definedNames>
  <calcPr calcId="191028"/>
</workbook>
</file>

<file path=xl/calcChain.xml><?xml version="1.0" encoding="utf-8"?>
<calcChain xmlns="http://schemas.openxmlformats.org/spreadsheetml/2006/main">
  <c r="AZ21" i="21" l="1"/>
  <c r="AZ5" i="21"/>
  <c r="AZ6" i="21"/>
  <c r="AZ7" i="21"/>
  <c r="AZ8" i="21"/>
  <c r="AZ10" i="21"/>
  <c r="AZ11" i="21"/>
  <c r="AZ12" i="21"/>
  <c r="AZ13" i="21"/>
  <c r="AZ14" i="21"/>
  <c r="AZ15" i="21"/>
  <c r="AZ16" i="21"/>
  <c r="AZ17" i="21"/>
  <c r="AZ18" i="21"/>
  <c r="AZ19" i="21"/>
  <c r="AZ4" i="21"/>
  <c r="AQ108" i="21" l="1"/>
  <c r="Q108" i="21"/>
  <c r="P108" i="21"/>
  <c r="O108" i="21"/>
  <c r="N108" i="21"/>
  <c r="AQ80" i="21"/>
  <c r="Q80" i="21"/>
  <c r="O80" i="21"/>
  <c r="P80" i="21"/>
  <c r="N80" i="21"/>
  <c r="AQ64" i="21"/>
  <c r="Q64" i="21"/>
  <c r="P64" i="21"/>
  <c r="O64" i="21"/>
  <c r="N64" i="21"/>
  <c r="AQ41" i="21"/>
  <c r="Q41" i="21"/>
  <c r="O41" i="21"/>
  <c r="N41" i="21"/>
  <c r="AQ23" i="21"/>
  <c r="O23" i="21"/>
  <c r="P23" i="21"/>
  <c r="Q23" i="21"/>
  <c r="N23" i="21"/>
  <c r="AQ17" i="21"/>
  <c r="O17" i="21"/>
  <c r="P17" i="21"/>
  <c r="Q17" i="21"/>
  <c r="N17" i="21"/>
  <c r="AQ130" i="19" l="1"/>
  <c r="AA130" i="19"/>
  <c r="X130" i="19"/>
  <c r="U130" i="19"/>
  <c r="H130" i="19"/>
  <c r="I130" i="19"/>
  <c r="J130" i="19"/>
  <c r="K130" i="19"/>
  <c r="L130" i="19"/>
  <c r="M130" i="19"/>
  <c r="N130" i="19"/>
  <c r="O130" i="19"/>
  <c r="P130" i="19"/>
  <c r="Q130" i="19"/>
  <c r="AQ121" i="19"/>
  <c r="AA121" i="19"/>
  <c r="X121" i="19"/>
  <c r="U121" i="19"/>
  <c r="Q121" i="19"/>
  <c r="P121" i="19"/>
  <c r="O121" i="19"/>
  <c r="N121" i="19"/>
  <c r="M121" i="19"/>
  <c r="AQ91" i="19"/>
  <c r="AA91" i="19"/>
  <c r="X91" i="19"/>
  <c r="U91" i="19"/>
  <c r="Q91" i="19"/>
  <c r="O91" i="19"/>
  <c r="P91" i="19"/>
  <c r="N91" i="19"/>
  <c r="M91" i="19"/>
  <c r="AQ71" i="19"/>
  <c r="AA71" i="19"/>
  <c r="X71" i="19"/>
  <c r="U71" i="19"/>
  <c r="Q71" i="19"/>
  <c r="P71" i="19"/>
  <c r="O71" i="19"/>
  <c r="N71" i="19"/>
  <c r="M71" i="19"/>
  <c r="AQ17" i="19"/>
  <c r="AA17" i="19"/>
  <c r="X17" i="19"/>
  <c r="U17" i="19"/>
  <c r="H17" i="19"/>
  <c r="I17" i="19"/>
  <c r="J17" i="19"/>
  <c r="K17" i="19"/>
  <c r="L17" i="19"/>
  <c r="M17" i="19"/>
  <c r="N17" i="19"/>
  <c r="O17" i="19"/>
  <c r="P17" i="19"/>
  <c r="Q17" i="19"/>
  <c r="AQ23" i="19"/>
  <c r="AA23" i="19"/>
  <c r="X23" i="19"/>
  <c r="U23" i="19"/>
  <c r="Q23" i="19"/>
  <c r="N23" i="19"/>
  <c r="O23" i="19"/>
  <c r="P23" i="19"/>
  <c r="H23" i="19"/>
  <c r="I23" i="19"/>
  <c r="J23" i="19"/>
  <c r="K23" i="19"/>
  <c r="L23" i="19"/>
  <c r="M23" i="19"/>
  <c r="AQ42" i="19"/>
  <c r="AA42" i="19"/>
  <c r="X42" i="19"/>
  <c r="U42" i="19"/>
  <c r="Q42" i="19"/>
  <c r="O42" i="19"/>
  <c r="N42" i="19"/>
  <c r="M42" i="19"/>
  <c r="P107" i="19" l="1"/>
  <c r="R107" i="19" s="1"/>
  <c r="G107" i="19"/>
  <c r="G96" i="21"/>
  <c r="P96" i="21"/>
  <c r="R96" i="21" s="1"/>
  <c r="L117" i="16" l="1"/>
  <c r="M133" i="19" l="1"/>
  <c r="Q133" i="19" l="1"/>
  <c r="G129" i="19" l="1"/>
  <c r="G130" i="19" s="1"/>
  <c r="H121" i="19"/>
  <c r="I121" i="19"/>
  <c r="J121" i="19"/>
  <c r="K121" i="19"/>
  <c r="L121" i="19"/>
  <c r="H91" i="19"/>
  <c r="I91" i="19"/>
  <c r="J91" i="19"/>
  <c r="K91" i="19"/>
  <c r="L91" i="19"/>
  <c r="G85" i="19"/>
  <c r="G86" i="19"/>
  <c r="G87" i="19"/>
  <c r="P87" i="19"/>
  <c r="H71" i="19"/>
  <c r="I71" i="19"/>
  <c r="J71" i="19"/>
  <c r="K71" i="19"/>
  <c r="L71" i="19"/>
  <c r="G67" i="19"/>
  <c r="H42" i="19"/>
  <c r="I42" i="19"/>
  <c r="J42" i="19"/>
  <c r="K42" i="19"/>
  <c r="L42" i="19"/>
  <c r="G96" i="19"/>
  <c r="G97" i="19"/>
  <c r="G98" i="19"/>
  <c r="G99" i="19"/>
  <c r="G100" i="19"/>
  <c r="G101" i="19"/>
  <c r="G102" i="19"/>
  <c r="G103" i="19"/>
  <c r="G104" i="19"/>
  <c r="G105" i="19"/>
  <c r="G106" i="19"/>
  <c r="G108" i="19"/>
  <c r="G109" i="19"/>
  <c r="G110" i="19"/>
  <c r="G111" i="19"/>
  <c r="G112" i="19"/>
  <c r="G113" i="19"/>
  <c r="G114" i="19"/>
  <c r="G115" i="19"/>
  <c r="G116" i="19"/>
  <c r="G117" i="19"/>
  <c r="G118" i="19"/>
  <c r="G95" i="19"/>
  <c r="G81" i="19"/>
  <c r="G82" i="19"/>
  <c r="G83" i="19"/>
  <c r="G84" i="19"/>
  <c r="G80" i="19"/>
  <c r="G91" i="19" s="1"/>
  <c r="G48" i="19"/>
  <c r="G49" i="19"/>
  <c r="G51" i="19"/>
  <c r="G52" i="19"/>
  <c r="G53" i="19"/>
  <c r="G54" i="19"/>
  <c r="G55" i="19"/>
  <c r="G56" i="19"/>
  <c r="G57" i="19"/>
  <c r="G58" i="19"/>
  <c r="G59" i="19"/>
  <c r="G60" i="19"/>
  <c r="G61" i="19"/>
  <c r="G62" i="19"/>
  <c r="G63" i="19"/>
  <c r="G64" i="19"/>
  <c r="G65" i="19"/>
  <c r="G66" i="19"/>
  <c r="G47" i="19"/>
  <c r="G27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26" i="19"/>
  <c r="G21" i="19"/>
  <c r="G20" i="19"/>
  <c r="G16" i="19"/>
  <c r="G121" i="19" l="1"/>
  <c r="G71" i="19"/>
  <c r="G42" i="19"/>
  <c r="G23" i="19"/>
  <c r="AV22" i="21"/>
  <c r="AW22" i="21"/>
  <c r="Q120" i="21" l="1"/>
  <c r="O120" i="21"/>
  <c r="AV21" i="21" s="1"/>
  <c r="N120" i="21"/>
  <c r="Q117" i="21"/>
  <c r="P117" i="21"/>
  <c r="AW19" i="21" s="1"/>
  <c r="O117" i="21"/>
  <c r="AV19" i="21" s="1"/>
  <c r="N117" i="21"/>
  <c r="AU19" i="21" s="1"/>
  <c r="AQ133" i="19"/>
  <c r="AA133" i="19"/>
  <c r="X133" i="19"/>
  <c r="U133" i="19"/>
  <c r="O133" i="19"/>
  <c r="N133" i="19"/>
  <c r="G133" i="19"/>
  <c r="AV17" i="21" l="1"/>
  <c r="AU17" i="21"/>
  <c r="P107" i="21"/>
  <c r="P118" i="19" l="1"/>
  <c r="P63" i="21" l="1"/>
  <c r="P66" i="19"/>
  <c r="AV9" i="21"/>
  <c r="AU9" i="21"/>
  <c r="P40" i="21"/>
  <c r="G40" i="21"/>
  <c r="P40" i="19"/>
  <c r="R40" i="19" s="1"/>
  <c r="AV10" i="21" l="1"/>
  <c r="P88" i="21"/>
  <c r="P49" i="21"/>
  <c r="R49" i="21" s="1"/>
  <c r="Q8" i="21"/>
  <c r="Q119" i="21" l="1"/>
  <c r="Q121" i="21" s="1"/>
  <c r="AQ120" i="21"/>
  <c r="AY21" i="21" s="1"/>
  <c r="AO120" i="21"/>
  <c r="AN120" i="21"/>
  <c r="AM120" i="21"/>
  <c r="AL120" i="21"/>
  <c r="AK120" i="21"/>
  <c r="AJ120" i="21"/>
  <c r="AI120" i="21"/>
  <c r="AH120" i="21"/>
  <c r="AG120" i="21"/>
  <c r="AF120" i="21"/>
  <c r="AE120" i="21"/>
  <c r="AD120" i="21"/>
  <c r="AA120" i="21"/>
  <c r="X120" i="21"/>
  <c r="U120" i="21"/>
  <c r="AX21" i="21"/>
  <c r="AU21" i="21"/>
  <c r="M120" i="21"/>
  <c r="AT21" i="21" s="1"/>
  <c r="L120" i="21"/>
  <c r="K120" i="21"/>
  <c r="J120" i="21"/>
  <c r="I120" i="21"/>
  <c r="H120" i="21"/>
  <c r="AQ117" i="21"/>
  <c r="AY19" i="21" s="1"/>
  <c r="AO117" i="21"/>
  <c r="AN117" i="21"/>
  <c r="AM117" i="21"/>
  <c r="AL117" i="21"/>
  <c r="AK117" i="21"/>
  <c r="AJ117" i="21"/>
  <c r="AI117" i="21"/>
  <c r="AH117" i="21"/>
  <c r="AG117" i="21"/>
  <c r="AF117" i="21"/>
  <c r="AE117" i="21"/>
  <c r="AD117" i="21"/>
  <c r="AA117" i="21"/>
  <c r="X117" i="21"/>
  <c r="U117" i="21"/>
  <c r="AX43" i="21"/>
  <c r="AW43" i="21"/>
  <c r="M117" i="21"/>
  <c r="AT19" i="21" s="1"/>
  <c r="L117" i="21"/>
  <c r="K117" i="21"/>
  <c r="J117" i="21"/>
  <c r="I117" i="21"/>
  <c r="H117" i="21"/>
  <c r="G115" i="21"/>
  <c r="Q112" i="21"/>
  <c r="AX18" i="21" s="1"/>
  <c r="AY17" i="21"/>
  <c r="AO108" i="21"/>
  <c r="AN108" i="21"/>
  <c r="AM108" i="21"/>
  <c r="AL108" i="21"/>
  <c r="AK108" i="21"/>
  <c r="AJ108" i="21"/>
  <c r="AI108" i="21"/>
  <c r="AH108" i="21"/>
  <c r="AG108" i="21"/>
  <c r="AF108" i="21"/>
  <c r="AE108" i="21"/>
  <c r="AD108" i="21"/>
  <c r="AA108" i="21"/>
  <c r="X108" i="21"/>
  <c r="U108" i="21"/>
  <c r="AV44" i="21"/>
  <c r="AU44" i="21"/>
  <c r="M108" i="21"/>
  <c r="AT17" i="21" s="1"/>
  <c r="L108" i="21"/>
  <c r="K108" i="21"/>
  <c r="J108" i="21"/>
  <c r="I108" i="21"/>
  <c r="H108" i="21"/>
  <c r="P106" i="21"/>
  <c r="R106" i="21" s="1"/>
  <c r="G106" i="21"/>
  <c r="P105" i="21"/>
  <c r="R105" i="21" s="1"/>
  <c r="G105" i="21"/>
  <c r="P104" i="21"/>
  <c r="R104" i="21" s="1"/>
  <c r="G104" i="21"/>
  <c r="P103" i="21"/>
  <c r="R103" i="21" s="1"/>
  <c r="G103" i="21"/>
  <c r="P102" i="21"/>
  <c r="R102" i="21" s="1"/>
  <c r="G102" i="21"/>
  <c r="P101" i="21"/>
  <c r="R101" i="21" s="1"/>
  <c r="G101" i="21"/>
  <c r="P100" i="21"/>
  <c r="R100" i="21" s="1"/>
  <c r="G100" i="21"/>
  <c r="P99" i="21"/>
  <c r="R99" i="21" s="1"/>
  <c r="G99" i="21"/>
  <c r="P98" i="21"/>
  <c r="R98" i="21" s="1"/>
  <c r="G98" i="21"/>
  <c r="P97" i="21"/>
  <c r="R97" i="21" s="1"/>
  <c r="G97" i="21"/>
  <c r="P95" i="21"/>
  <c r="R95" i="21" s="1"/>
  <c r="G95" i="21"/>
  <c r="P94" i="21"/>
  <c r="R94" i="21" s="1"/>
  <c r="G94" i="21"/>
  <c r="P93" i="21"/>
  <c r="R93" i="21" s="1"/>
  <c r="G93" i="21"/>
  <c r="P92" i="21"/>
  <c r="R92" i="21" s="1"/>
  <c r="G92" i="21"/>
  <c r="P91" i="21"/>
  <c r="R91" i="21" s="1"/>
  <c r="G91" i="21"/>
  <c r="P90" i="21"/>
  <c r="R90" i="21" s="1"/>
  <c r="G90" i="21"/>
  <c r="P89" i="21"/>
  <c r="R89" i="21" s="1"/>
  <c r="G89" i="21"/>
  <c r="G88" i="21"/>
  <c r="P87" i="21"/>
  <c r="R87" i="21" s="1"/>
  <c r="G87" i="21"/>
  <c r="P86" i="21"/>
  <c r="R86" i="21" s="1"/>
  <c r="G86" i="21"/>
  <c r="P85" i="21"/>
  <c r="R85" i="21" s="1"/>
  <c r="G85" i="21"/>
  <c r="P84" i="21"/>
  <c r="G84" i="21"/>
  <c r="AY16" i="21"/>
  <c r="AO80" i="21"/>
  <c r="AN80" i="21"/>
  <c r="AM80" i="21"/>
  <c r="AL80" i="21"/>
  <c r="AK80" i="21"/>
  <c r="AJ80" i="21"/>
  <c r="AI80" i="21"/>
  <c r="AH80" i="21"/>
  <c r="AG80" i="21"/>
  <c r="AF80" i="21"/>
  <c r="AE80" i="21"/>
  <c r="AD80" i="21"/>
  <c r="AA80" i="21"/>
  <c r="X80" i="21"/>
  <c r="U80" i="21"/>
  <c r="AV16" i="21"/>
  <c r="AU16" i="21"/>
  <c r="M80" i="21"/>
  <c r="AT16" i="21" s="1"/>
  <c r="L80" i="21"/>
  <c r="K80" i="21"/>
  <c r="J80" i="21"/>
  <c r="I80" i="21"/>
  <c r="H80" i="21"/>
  <c r="P79" i="21"/>
  <c r="G79" i="21" s="1"/>
  <c r="P78" i="21"/>
  <c r="G78" i="21" s="1"/>
  <c r="P77" i="21"/>
  <c r="R77" i="21" s="1"/>
  <c r="G77" i="21"/>
  <c r="P76" i="21"/>
  <c r="R76" i="21" s="1"/>
  <c r="G76" i="21"/>
  <c r="P75" i="21"/>
  <c r="R75" i="21" s="1"/>
  <c r="G75" i="21"/>
  <c r="P74" i="21"/>
  <c r="R74" i="21" s="1"/>
  <c r="G74" i="21"/>
  <c r="P73" i="21"/>
  <c r="G73" i="21"/>
  <c r="G72" i="21"/>
  <c r="G71" i="21"/>
  <c r="G70" i="21"/>
  <c r="G69" i="21"/>
  <c r="G68" i="21"/>
  <c r="G67" i="21"/>
  <c r="AY10" i="21"/>
  <c r="AO64" i="21"/>
  <c r="AN64" i="21"/>
  <c r="AM64" i="21"/>
  <c r="AI64" i="21"/>
  <c r="AH64" i="21"/>
  <c r="AG64" i="21"/>
  <c r="AF64" i="21"/>
  <c r="AE64" i="21"/>
  <c r="AD64" i="21"/>
  <c r="AA64" i="21"/>
  <c r="X64" i="21"/>
  <c r="U64" i="21"/>
  <c r="AV41" i="21"/>
  <c r="M64" i="21"/>
  <c r="AT10" i="21" s="1"/>
  <c r="L64" i="21"/>
  <c r="K64" i="21"/>
  <c r="J64" i="21"/>
  <c r="I64" i="21"/>
  <c r="H64" i="21"/>
  <c r="AJ62" i="21"/>
  <c r="AL62" i="21" s="1"/>
  <c r="P62" i="21"/>
  <c r="R62" i="21" s="1"/>
  <c r="G62" i="21"/>
  <c r="P61" i="21"/>
  <c r="R61" i="21" s="1"/>
  <c r="G61" i="21"/>
  <c r="AJ60" i="21"/>
  <c r="AL60" i="21" s="1"/>
  <c r="P60" i="21"/>
  <c r="R60" i="21" s="1"/>
  <c r="G60" i="21"/>
  <c r="AJ59" i="21"/>
  <c r="AL59" i="21" s="1"/>
  <c r="P59" i="21"/>
  <c r="R59" i="21" s="1"/>
  <c r="G59" i="21"/>
  <c r="AJ58" i="21"/>
  <c r="AK58" i="21" s="1"/>
  <c r="P58" i="21"/>
  <c r="R58" i="21" s="1"/>
  <c r="G58" i="21"/>
  <c r="AJ57" i="21"/>
  <c r="AK57" i="21" s="1"/>
  <c r="P57" i="21"/>
  <c r="R57" i="21" s="1"/>
  <c r="G57" i="21"/>
  <c r="AJ56" i="21"/>
  <c r="AL56" i="21" s="1"/>
  <c r="P56" i="21"/>
  <c r="R56" i="21" s="1"/>
  <c r="G56" i="21"/>
  <c r="AJ55" i="21"/>
  <c r="AL55" i="21" s="1"/>
  <c r="P55" i="21"/>
  <c r="R55" i="21" s="1"/>
  <c r="G55" i="21"/>
  <c r="AJ54" i="21"/>
  <c r="AK54" i="21" s="1"/>
  <c r="P54" i="21"/>
  <c r="R54" i="21" s="1"/>
  <c r="G54" i="21"/>
  <c r="AJ53" i="21"/>
  <c r="AL53" i="21" s="1"/>
  <c r="P53" i="21"/>
  <c r="R53" i="21" s="1"/>
  <c r="G53" i="21"/>
  <c r="P52" i="21"/>
  <c r="R52" i="21" s="1"/>
  <c r="G52" i="21"/>
  <c r="AJ51" i="21"/>
  <c r="AK51" i="21" s="1"/>
  <c r="P51" i="21"/>
  <c r="R51" i="21" s="1"/>
  <c r="G51" i="21"/>
  <c r="AJ50" i="21"/>
  <c r="AL50" i="21" s="1"/>
  <c r="P50" i="21"/>
  <c r="R50" i="21" s="1"/>
  <c r="G50" i="21"/>
  <c r="AJ49" i="21"/>
  <c r="AL49" i="21" s="1"/>
  <c r="G49" i="21"/>
  <c r="AJ48" i="21"/>
  <c r="N48" i="21"/>
  <c r="AJ47" i="21"/>
  <c r="AL47" i="21" s="1"/>
  <c r="P47" i="21"/>
  <c r="R47" i="21" s="1"/>
  <c r="G47" i="21"/>
  <c r="AV43" i="21"/>
  <c r="AJ46" i="21"/>
  <c r="AL46" i="21" s="1"/>
  <c r="P46" i="21"/>
  <c r="G46" i="21"/>
  <c r="AX44" i="21"/>
  <c r="AJ45" i="21"/>
  <c r="AK45" i="21" s="1"/>
  <c r="G45" i="21"/>
  <c r="AX42" i="21"/>
  <c r="AX41" i="21"/>
  <c r="AY9" i="21"/>
  <c r="AO41" i="21"/>
  <c r="AN41" i="21"/>
  <c r="AJ41" i="21"/>
  <c r="AI41" i="21"/>
  <c r="AH41" i="21"/>
  <c r="AG41" i="21"/>
  <c r="AF41" i="21"/>
  <c r="AE41" i="21"/>
  <c r="AD41" i="21"/>
  <c r="AA41" i="21"/>
  <c r="X41" i="21"/>
  <c r="U41" i="21"/>
  <c r="AX40" i="21"/>
  <c r="AV40" i="21"/>
  <c r="M41" i="21"/>
  <c r="AT9" i="21" s="1"/>
  <c r="L41" i="21"/>
  <c r="K41" i="21"/>
  <c r="J41" i="21"/>
  <c r="I41" i="21"/>
  <c r="H41" i="21"/>
  <c r="AX39" i="21"/>
  <c r="AV39" i="21"/>
  <c r="AU39" i="21"/>
  <c r="G39" i="21"/>
  <c r="AX38" i="21"/>
  <c r="AV38" i="21"/>
  <c r="AU38" i="21"/>
  <c r="AK38" i="21"/>
  <c r="P38" i="21"/>
  <c r="R38" i="21" s="1"/>
  <c r="G38" i="21"/>
  <c r="AK37" i="21"/>
  <c r="P37" i="21"/>
  <c r="G37" i="21"/>
  <c r="P36" i="21"/>
  <c r="R36" i="21" s="1"/>
  <c r="G36" i="21"/>
  <c r="AL35" i="21"/>
  <c r="AL41" i="21" s="1"/>
  <c r="P35" i="21"/>
  <c r="R35" i="21" s="1"/>
  <c r="G35" i="21"/>
  <c r="P34" i="21"/>
  <c r="R34" i="21" s="1"/>
  <c r="G34" i="21"/>
  <c r="AK34" i="21" s="1"/>
  <c r="P33" i="21"/>
  <c r="R33" i="21" s="1"/>
  <c r="G33" i="21"/>
  <c r="P32" i="21"/>
  <c r="R32" i="21" s="1"/>
  <c r="G32" i="21"/>
  <c r="AM32" i="21" s="1"/>
  <c r="P31" i="21"/>
  <c r="R31" i="21" s="1"/>
  <c r="G31" i="21"/>
  <c r="AM31" i="21" s="1"/>
  <c r="AK30" i="21"/>
  <c r="P30" i="21"/>
  <c r="R30" i="21" s="1"/>
  <c r="G30" i="21"/>
  <c r="P29" i="21"/>
  <c r="R29" i="21" s="1"/>
  <c r="G29" i="21"/>
  <c r="P28" i="21"/>
  <c r="R28" i="21" s="1"/>
  <c r="G28" i="21"/>
  <c r="AK28" i="21" s="1"/>
  <c r="P27" i="21"/>
  <c r="R27" i="21" s="1"/>
  <c r="G27" i="21"/>
  <c r="P26" i="21"/>
  <c r="R26" i="21" s="1"/>
  <c r="G26" i="21"/>
  <c r="AM26" i="21" s="1"/>
  <c r="AS23" i="21"/>
  <c r="AS21" i="21"/>
  <c r="AY8" i="21"/>
  <c r="AO23" i="21"/>
  <c r="AN23" i="21"/>
  <c r="AM23" i="21"/>
  <c r="AL23" i="21"/>
  <c r="AK23" i="21"/>
  <c r="AJ23" i="21"/>
  <c r="AI23" i="21"/>
  <c r="AH23" i="21"/>
  <c r="AG23" i="21"/>
  <c r="AF23" i="21"/>
  <c r="AE23" i="21"/>
  <c r="AD23" i="21"/>
  <c r="AA23" i="21"/>
  <c r="X23" i="21"/>
  <c r="U23" i="21"/>
  <c r="AX8" i="21"/>
  <c r="AV8" i="21"/>
  <c r="AU8" i="21"/>
  <c r="M23" i="21"/>
  <c r="AT8" i="21" s="1"/>
  <c r="K23" i="21"/>
  <c r="J23" i="21"/>
  <c r="I23" i="21"/>
  <c r="H23" i="21"/>
  <c r="AY22" i="21"/>
  <c r="AX22" i="21"/>
  <c r="AU22" i="21"/>
  <c r="AT22" i="21"/>
  <c r="AS22" i="21"/>
  <c r="G22" i="21"/>
  <c r="AS20" i="21"/>
  <c r="P21" i="21"/>
  <c r="AW39" i="21" s="1"/>
  <c r="G21" i="21"/>
  <c r="P20" i="21"/>
  <c r="AW38" i="21" s="1"/>
  <c r="L20" i="21"/>
  <c r="L23" i="21" s="1"/>
  <c r="G20" i="21"/>
  <c r="AX19" i="21"/>
  <c r="AS19" i="21"/>
  <c r="AS18" i="21"/>
  <c r="AX17" i="21"/>
  <c r="AS17" i="21"/>
  <c r="AY5" i="21"/>
  <c r="AO17" i="21"/>
  <c r="AN17" i="21"/>
  <c r="AM17" i="21"/>
  <c r="AL17" i="21"/>
  <c r="AK17" i="21"/>
  <c r="AJ17" i="21"/>
  <c r="AI17" i="21"/>
  <c r="AH17" i="21"/>
  <c r="AG17" i="21"/>
  <c r="AF17" i="21"/>
  <c r="AE17" i="21"/>
  <c r="AD17" i="21"/>
  <c r="AA17" i="21"/>
  <c r="X17" i="21"/>
  <c r="U17" i="21"/>
  <c r="AX37" i="21"/>
  <c r="M17" i="21"/>
  <c r="AT5" i="21" s="1"/>
  <c r="L17" i="21"/>
  <c r="K17" i="21"/>
  <c r="J17" i="21"/>
  <c r="I17" i="21"/>
  <c r="H17" i="21"/>
  <c r="AX16" i="21"/>
  <c r="AS16" i="21"/>
  <c r="P16" i="21"/>
  <c r="G16" i="21"/>
  <c r="G17" i="21" s="1"/>
  <c r="G15" i="21"/>
  <c r="G14" i="21"/>
  <c r="G13" i="21"/>
  <c r="G12" i="21"/>
  <c r="G11" i="21"/>
  <c r="AX10" i="21"/>
  <c r="AS10" i="21"/>
  <c r="AX9" i="21"/>
  <c r="AS9" i="21"/>
  <c r="AS8" i="21"/>
  <c r="AQ8" i="21"/>
  <c r="AO8" i="21"/>
  <c r="AN8" i="21"/>
  <c r="AM8" i="21"/>
  <c r="AL8" i="21"/>
  <c r="AK8" i="21"/>
  <c r="AJ8" i="21"/>
  <c r="AI8" i="21"/>
  <c r="AH8" i="21"/>
  <c r="AG8" i="21"/>
  <c r="AF8" i="21"/>
  <c r="AE8" i="21"/>
  <c r="AD8" i="21"/>
  <c r="AA8" i="21"/>
  <c r="X8" i="21"/>
  <c r="U8" i="21"/>
  <c r="P8" i="21"/>
  <c r="AW4" i="21" s="1"/>
  <c r="O8" i="21"/>
  <c r="N8" i="21"/>
  <c r="M8" i="21"/>
  <c r="AT4" i="21" s="1"/>
  <c r="L8" i="21"/>
  <c r="K8" i="21"/>
  <c r="J8" i="21"/>
  <c r="I8" i="21"/>
  <c r="H8" i="21"/>
  <c r="G7" i="21"/>
  <c r="G6" i="21"/>
  <c r="AX5" i="21"/>
  <c r="AS5" i="21"/>
  <c r="AS4" i="21"/>
  <c r="P41" i="21" l="1"/>
  <c r="R73" i="21"/>
  <c r="AY4" i="21"/>
  <c r="AQ119" i="21"/>
  <c r="AQ121" i="21" s="1"/>
  <c r="AY23" i="21" s="1"/>
  <c r="AU37" i="21"/>
  <c r="AU5" i="21"/>
  <c r="AV37" i="21"/>
  <c r="AV5" i="21"/>
  <c r="AV4" i="21"/>
  <c r="O119" i="21"/>
  <c r="AV20" i="21" s="1"/>
  <c r="N119" i="21"/>
  <c r="N121" i="21" s="1"/>
  <c r="AU10" i="21"/>
  <c r="P120" i="21"/>
  <c r="AW21" i="21" s="1"/>
  <c r="AU4" i="21"/>
  <c r="AV42" i="21"/>
  <c r="AZ22" i="21"/>
  <c r="R84" i="21"/>
  <c r="R46" i="21"/>
  <c r="AL54" i="21"/>
  <c r="AG112" i="21"/>
  <c r="G23" i="21"/>
  <c r="AL58" i="21"/>
  <c r="AO112" i="21"/>
  <c r="U119" i="21"/>
  <c r="U121" i="21" s="1"/>
  <c r="I119" i="21"/>
  <c r="I121" i="21" s="1"/>
  <c r="AI119" i="21"/>
  <c r="AI121" i="21" s="1"/>
  <c r="I112" i="21"/>
  <c r="X112" i="21"/>
  <c r="M119" i="21"/>
  <c r="M121" i="21" s="1"/>
  <c r="AT23" i="21" s="1"/>
  <c r="AU42" i="21"/>
  <c r="G120" i="21"/>
  <c r="AK49" i="21"/>
  <c r="AL51" i="21"/>
  <c r="AK46" i="21"/>
  <c r="U112" i="21"/>
  <c r="AI112" i="21"/>
  <c r="G108" i="21"/>
  <c r="AG119" i="21"/>
  <c r="AG121" i="21" s="1"/>
  <c r="AH119" i="21"/>
  <c r="AH121" i="21" s="1"/>
  <c r="J119" i="21"/>
  <c r="J121" i="21" s="1"/>
  <c r="X119" i="21"/>
  <c r="X121" i="21" s="1"/>
  <c r="AL45" i="21"/>
  <c r="AU43" i="21"/>
  <c r="AK47" i="21"/>
  <c r="G80" i="21"/>
  <c r="J112" i="21"/>
  <c r="AA112" i="21"/>
  <c r="K119" i="21"/>
  <c r="K121" i="21" s="1"/>
  <c r="AD119" i="21"/>
  <c r="AD121" i="21" s="1"/>
  <c r="AK50" i="21"/>
  <c r="AL57" i="21"/>
  <c r="K112" i="21"/>
  <c r="AD112" i="21"/>
  <c r="L112" i="21"/>
  <c r="AE112" i="21"/>
  <c r="AM112" i="21"/>
  <c r="AU40" i="21"/>
  <c r="AE119" i="21"/>
  <c r="AE121" i="21" s="1"/>
  <c r="AM41" i="21"/>
  <c r="AM119" i="21" s="1"/>
  <c r="AM121" i="21" s="1"/>
  <c r="AK41" i="21"/>
  <c r="P48" i="21"/>
  <c r="M112" i="21"/>
  <c r="AT18" i="21" s="1"/>
  <c r="AF112" i="21"/>
  <c r="AN112" i="21"/>
  <c r="AF119" i="21"/>
  <c r="AF121" i="21" s="1"/>
  <c r="AN119" i="21"/>
  <c r="AN121" i="21" s="1"/>
  <c r="AW8" i="21"/>
  <c r="L119" i="21"/>
  <c r="L121" i="21" s="1"/>
  <c r="AO119" i="21"/>
  <c r="AO121" i="21" s="1"/>
  <c r="AK48" i="21"/>
  <c r="AK62" i="21"/>
  <c r="N112" i="21"/>
  <c r="AU18" i="21" s="1"/>
  <c r="AH112" i="21"/>
  <c r="AQ112" i="21"/>
  <c r="AY18" i="21" s="1"/>
  <c r="AA119" i="21"/>
  <c r="AA121" i="21" s="1"/>
  <c r="H119" i="21"/>
  <c r="H121" i="21" s="1"/>
  <c r="H112" i="21"/>
  <c r="O112" i="21"/>
  <c r="AV18" i="21" s="1"/>
  <c r="AX20" i="21"/>
  <c r="AU41" i="21"/>
  <c r="AU36" i="21"/>
  <c r="AL48" i="21"/>
  <c r="AK53" i="21"/>
  <c r="AK56" i="21"/>
  <c r="AK60" i="21"/>
  <c r="AJ64" i="21"/>
  <c r="AJ112" i="21" s="1"/>
  <c r="AV36" i="21"/>
  <c r="G41" i="21"/>
  <c r="AW36" i="21"/>
  <c r="G48" i="21"/>
  <c r="G64" i="21" s="1"/>
  <c r="AK55" i="21"/>
  <c r="AK59" i="21"/>
  <c r="AX36" i="21"/>
  <c r="AX46" i="21" s="1"/>
  <c r="AX4" i="21"/>
  <c r="P96" i="19"/>
  <c r="R96" i="19" s="1"/>
  <c r="P97" i="19"/>
  <c r="P98" i="19"/>
  <c r="P99" i="19"/>
  <c r="P100" i="19"/>
  <c r="R100" i="19" s="1"/>
  <c r="P101" i="19"/>
  <c r="R101" i="19" s="1"/>
  <c r="P102" i="19"/>
  <c r="R102" i="19" s="1"/>
  <c r="P103" i="19"/>
  <c r="R103" i="19" s="1"/>
  <c r="P104" i="19"/>
  <c r="P105" i="19"/>
  <c r="R105" i="19" s="1"/>
  <c r="P106" i="19"/>
  <c r="R106" i="19" s="1"/>
  <c r="P108" i="19"/>
  <c r="R108" i="19" s="1"/>
  <c r="P109" i="19"/>
  <c r="R109" i="19" s="1"/>
  <c r="P110" i="19"/>
  <c r="R110" i="19" s="1"/>
  <c r="P111" i="19"/>
  <c r="R111" i="19" s="1"/>
  <c r="P112" i="19"/>
  <c r="R112" i="19" s="1"/>
  <c r="P113" i="19"/>
  <c r="R113" i="19" s="1"/>
  <c r="P114" i="19"/>
  <c r="R114" i="19" s="1"/>
  <c r="P115" i="19"/>
  <c r="R115" i="19" s="1"/>
  <c r="P116" i="19"/>
  <c r="R116" i="19" s="1"/>
  <c r="P117" i="19"/>
  <c r="R117" i="19" s="1"/>
  <c r="P95" i="19"/>
  <c r="P81" i="19"/>
  <c r="R81" i="19" s="1"/>
  <c r="P82" i="19"/>
  <c r="R82" i="19" s="1"/>
  <c r="P83" i="19"/>
  <c r="R83" i="19" s="1"/>
  <c r="P84" i="19"/>
  <c r="R84" i="19" s="1"/>
  <c r="P85" i="19"/>
  <c r="P86" i="19"/>
  <c r="P80" i="19"/>
  <c r="R91" i="19" s="1"/>
  <c r="P48" i="19"/>
  <c r="R48" i="19" s="1"/>
  <c r="P51" i="19"/>
  <c r="R51" i="19" s="1"/>
  <c r="P52" i="19"/>
  <c r="R52" i="19" s="1"/>
  <c r="P53" i="19"/>
  <c r="R53" i="19" s="1"/>
  <c r="P54" i="19"/>
  <c r="R54" i="19" s="1"/>
  <c r="P55" i="19"/>
  <c r="P56" i="19"/>
  <c r="P57" i="19"/>
  <c r="R57" i="19" s="1"/>
  <c r="P58" i="19"/>
  <c r="R58" i="19" s="1"/>
  <c r="P59" i="19"/>
  <c r="R59" i="19" s="1"/>
  <c r="P60" i="19"/>
  <c r="R60" i="19" s="1"/>
  <c r="P61" i="19"/>
  <c r="R61" i="19" s="1"/>
  <c r="P62" i="19"/>
  <c r="R62" i="19" s="1"/>
  <c r="P63" i="19"/>
  <c r="R63" i="19" s="1"/>
  <c r="P64" i="19"/>
  <c r="R64" i="19" s="1"/>
  <c r="P65" i="19"/>
  <c r="R65" i="19" s="1"/>
  <c r="P47" i="19"/>
  <c r="P27" i="19"/>
  <c r="R27" i="19" s="1"/>
  <c r="P28" i="19"/>
  <c r="P29" i="19"/>
  <c r="R29" i="19" s="1"/>
  <c r="P30" i="19"/>
  <c r="R30" i="19" s="1"/>
  <c r="P31" i="19"/>
  <c r="R31" i="19" s="1"/>
  <c r="P32" i="19"/>
  <c r="R32" i="19" s="1"/>
  <c r="P33" i="19"/>
  <c r="R33" i="19" s="1"/>
  <c r="P34" i="19"/>
  <c r="R34" i="19" s="1"/>
  <c r="P35" i="19"/>
  <c r="R35" i="19" s="1"/>
  <c r="P36" i="19"/>
  <c r="R36" i="19" s="1"/>
  <c r="P37" i="19"/>
  <c r="P38" i="19"/>
  <c r="R38" i="19" s="1"/>
  <c r="P26" i="19"/>
  <c r="P21" i="19"/>
  <c r="P20" i="19"/>
  <c r="P16" i="19"/>
  <c r="O8" i="19"/>
  <c r="P8" i="19"/>
  <c r="P42" i="19" l="1"/>
  <c r="R48" i="21"/>
  <c r="O121" i="21"/>
  <c r="AV23" i="21" s="1"/>
  <c r="R108" i="21"/>
  <c r="AW17" i="21"/>
  <c r="AW37" i="21"/>
  <c r="AW5" i="21"/>
  <c r="R80" i="21"/>
  <c r="AW16" i="21"/>
  <c r="AV46" i="21"/>
  <c r="AW9" i="21"/>
  <c r="AZ9" i="21" s="1"/>
  <c r="R97" i="19"/>
  <c r="R80" i="19"/>
  <c r="R55" i="19"/>
  <c r="P133" i="19"/>
  <c r="O132" i="19"/>
  <c r="O134" i="19" s="1"/>
  <c r="R28" i="19"/>
  <c r="R41" i="21"/>
  <c r="R95" i="19"/>
  <c r="R47" i="19"/>
  <c r="AW42" i="21"/>
  <c r="AY42" i="21" s="1"/>
  <c r="AU46" i="21"/>
  <c r="AT20" i="21"/>
  <c r="AY20" i="21"/>
  <c r="AW40" i="21"/>
  <c r="AY40" i="21" s="1"/>
  <c r="AL64" i="21"/>
  <c r="AL112" i="21" s="1"/>
  <c r="G112" i="21"/>
  <c r="G119" i="21"/>
  <c r="G121" i="21" s="1"/>
  <c r="AX23" i="21"/>
  <c r="AK64" i="21"/>
  <c r="AK112" i="21" s="1"/>
  <c r="AU20" i="21"/>
  <c r="AU23" i="21"/>
  <c r="AW44" i="21"/>
  <c r="AY44" i="21" s="1"/>
  <c r="AJ119" i="21"/>
  <c r="AJ121" i="21" s="1"/>
  <c r="O125" i="19"/>
  <c r="R26" i="19"/>
  <c r="R64" i="21" l="1"/>
  <c r="AW10" i="21"/>
  <c r="P119" i="21"/>
  <c r="AW20" i="21" s="1"/>
  <c r="AZ20" i="21" s="1"/>
  <c r="AW41" i="21"/>
  <c r="AY41" i="21" s="1"/>
  <c r="P112" i="21"/>
  <c r="AL119" i="21"/>
  <c r="AL121" i="21" s="1"/>
  <c r="AK119" i="21"/>
  <c r="AK121" i="21" s="1"/>
  <c r="P121" i="21" l="1"/>
  <c r="R121" i="21" s="1"/>
  <c r="AY46" i="21" s="1"/>
  <c r="R112" i="21"/>
  <c r="AW18" i="21"/>
  <c r="AW46" i="21"/>
  <c r="R119" i="21"/>
  <c r="AD23" i="19"/>
  <c r="AE23" i="19"/>
  <c r="AF23" i="19"/>
  <c r="AG23" i="19"/>
  <c r="AH23" i="19"/>
  <c r="AI23" i="19"/>
  <c r="AJ23" i="19"/>
  <c r="AK23" i="19"/>
  <c r="AL23" i="19"/>
  <c r="AM23" i="19"/>
  <c r="AN23" i="19"/>
  <c r="AO23" i="19"/>
  <c r="G17" i="19"/>
  <c r="AW23" i="21" l="1"/>
  <c r="AZ23" i="21" s="1"/>
  <c r="AX25" i="21"/>
  <c r="R121" i="19"/>
  <c r="R42" i="19"/>
  <c r="N117" i="16"/>
  <c r="N114" i="16"/>
  <c r="N106" i="16"/>
  <c r="N79" i="16"/>
  <c r="N62" i="16"/>
  <c r="N39" i="16"/>
  <c r="N22" i="16"/>
  <c r="N16" i="16"/>
  <c r="N7" i="16"/>
  <c r="N110" i="16" l="1"/>
  <c r="N116" i="16"/>
  <c r="N118" i="16" s="1"/>
  <c r="L114" i="16" l="1"/>
  <c r="L106" i="16"/>
  <c r="L79" i="16"/>
  <c r="L62" i="16"/>
  <c r="L39" i="16"/>
  <c r="L22" i="16"/>
  <c r="L16" i="16"/>
  <c r="L7" i="16"/>
  <c r="Q8" i="19"/>
  <c r="Q132" i="19" s="1"/>
  <c r="Q134" i="19" s="1"/>
  <c r="M8" i="19"/>
  <c r="M132" i="19" s="1"/>
  <c r="M134" i="19" l="1"/>
  <c r="L110" i="16"/>
  <c r="L116" i="16"/>
  <c r="L118" i="16" s="1"/>
  <c r="Q125" i="19"/>
  <c r="M125" i="19"/>
  <c r="AQ8" i="19" l="1"/>
  <c r="AO133" i="19"/>
  <c r="AN133" i="19"/>
  <c r="AM133" i="19"/>
  <c r="AL133" i="19"/>
  <c r="AK133" i="19"/>
  <c r="AJ133" i="19"/>
  <c r="AI133" i="19"/>
  <c r="AH133" i="19"/>
  <c r="AG133" i="19"/>
  <c r="AF133" i="19"/>
  <c r="AE133" i="19"/>
  <c r="AD133" i="19"/>
  <c r="L133" i="19"/>
  <c r="K133" i="19"/>
  <c r="J133" i="19"/>
  <c r="I133" i="19"/>
  <c r="H133" i="19"/>
  <c r="AO130" i="19"/>
  <c r="AN130" i="19"/>
  <c r="AM130" i="19"/>
  <c r="AL130" i="19"/>
  <c r="AK130" i="19"/>
  <c r="AJ130" i="19"/>
  <c r="AI130" i="19"/>
  <c r="AH130" i="19"/>
  <c r="AG130" i="19"/>
  <c r="AF130" i="19"/>
  <c r="AE130" i="19"/>
  <c r="AD130" i="19"/>
  <c r="G128" i="19"/>
  <c r="AO121" i="19"/>
  <c r="AN121" i="19"/>
  <c r="AM121" i="19"/>
  <c r="AL121" i="19"/>
  <c r="AK121" i="19"/>
  <c r="AJ121" i="19"/>
  <c r="AI121" i="19"/>
  <c r="AH121" i="19"/>
  <c r="AG121" i="19"/>
  <c r="AF121" i="19"/>
  <c r="AE121" i="19"/>
  <c r="AD121" i="19"/>
  <c r="AO91" i="19"/>
  <c r="AN91" i="19"/>
  <c r="AM91" i="19"/>
  <c r="AL91" i="19"/>
  <c r="AK91" i="19"/>
  <c r="AJ91" i="19"/>
  <c r="AI91" i="19"/>
  <c r="AH91" i="19"/>
  <c r="AG91" i="19"/>
  <c r="AF91" i="19"/>
  <c r="AE91" i="19"/>
  <c r="AD91" i="19"/>
  <c r="G79" i="19"/>
  <c r="G78" i="19"/>
  <c r="G77" i="19"/>
  <c r="G76" i="19"/>
  <c r="G75" i="19"/>
  <c r="G74" i="19"/>
  <c r="AO71" i="19"/>
  <c r="AN71" i="19"/>
  <c r="AM71" i="19"/>
  <c r="AI71" i="19"/>
  <c r="AH71" i="19"/>
  <c r="AG71" i="19"/>
  <c r="AF71" i="19"/>
  <c r="AE71" i="19"/>
  <c r="AD71" i="19"/>
  <c r="AJ65" i="19"/>
  <c r="AL65" i="19" s="1"/>
  <c r="AJ63" i="19"/>
  <c r="AK63" i="19" s="1"/>
  <c r="AJ62" i="19"/>
  <c r="AL62" i="19" s="1"/>
  <c r="AJ61" i="19"/>
  <c r="AK61" i="19" s="1"/>
  <c r="AJ60" i="19"/>
  <c r="AL60" i="19" s="1"/>
  <c r="AJ59" i="19"/>
  <c r="AK59" i="19" s="1"/>
  <c r="AJ58" i="19"/>
  <c r="AL58" i="19" s="1"/>
  <c r="AJ57" i="19"/>
  <c r="AK57" i="19" s="1"/>
  <c r="AJ56" i="19"/>
  <c r="AK56" i="19" s="1"/>
  <c r="AJ55" i="19"/>
  <c r="AK55" i="19" s="1"/>
  <c r="AJ53" i="19"/>
  <c r="AK53" i="19" s="1"/>
  <c r="AJ52" i="19"/>
  <c r="AL52" i="19" s="1"/>
  <c r="AJ51" i="19"/>
  <c r="AK51" i="19" s="1"/>
  <c r="AJ50" i="19"/>
  <c r="AL50" i="19" s="1"/>
  <c r="AJ49" i="19"/>
  <c r="N49" i="19"/>
  <c r="AJ48" i="19"/>
  <c r="AK48" i="19" s="1"/>
  <c r="AJ47" i="19"/>
  <c r="AL47" i="19" s="1"/>
  <c r="AJ46" i="19"/>
  <c r="AK46" i="19" s="1"/>
  <c r="G46" i="19"/>
  <c r="AO42" i="19"/>
  <c r="AN42" i="19"/>
  <c r="AJ42" i="19"/>
  <c r="AI42" i="19"/>
  <c r="AH42" i="19"/>
  <c r="AG42" i="19"/>
  <c r="AF42" i="19"/>
  <c r="AE42" i="19"/>
  <c r="AD42" i="19"/>
  <c r="AK38" i="19"/>
  <c r="AK37" i="19"/>
  <c r="AL35" i="19"/>
  <c r="AL42" i="19" s="1"/>
  <c r="AK34" i="19"/>
  <c r="AM32" i="19"/>
  <c r="AM31" i="19"/>
  <c r="AK30" i="19"/>
  <c r="AK28" i="19"/>
  <c r="G22" i="19"/>
  <c r="L20" i="19"/>
  <c r="AO17" i="19"/>
  <c r="AN17" i="19"/>
  <c r="AM17" i="19"/>
  <c r="AL17" i="19"/>
  <c r="AK17" i="19"/>
  <c r="AJ17" i="19"/>
  <c r="AI17" i="19"/>
  <c r="AH17" i="19"/>
  <c r="AG17" i="19"/>
  <c r="AF17" i="19"/>
  <c r="AE17" i="19"/>
  <c r="AD17" i="19"/>
  <c r="G15" i="19"/>
  <c r="G14" i="19"/>
  <c r="G13" i="19"/>
  <c r="G12" i="19"/>
  <c r="G11" i="19"/>
  <c r="AO8" i="19"/>
  <c r="AN8" i="19"/>
  <c r="AM8" i="19"/>
  <c r="AL8" i="19"/>
  <c r="AK8" i="19"/>
  <c r="AJ8" i="19"/>
  <c r="AI8" i="19"/>
  <c r="AH8" i="19"/>
  <c r="AG8" i="19"/>
  <c r="AF8" i="19"/>
  <c r="AE8" i="19"/>
  <c r="AD8" i="19"/>
  <c r="AA8" i="19"/>
  <c r="AA132" i="19" s="1"/>
  <c r="AA134" i="19" s="1"/>
  <c r="X8" i="19"/>
  <c r="X132" i="19" s="1"/>
  <c r="X134" i="19" s="1"/>
  <c r="U8" i="19"/>
  <c r="U132" i="19" s="1"/>
  <c r="U134" i="19" s="1"/>
  <c r="N8" i="19"/>
  <c r="L8" i="19"/>
  <c r="K8" i="19"/>
  <c r="K132" i="19" s="1"/>
  <c r="J8" i="19"/>
  <c r="J132" i="19" s="1"/>
  <c r="I8" i="19"/>
  <c r="I132" i="19" s="1"/>
  <c r="H8" i="19"/>
  <c r="H132" i="19" s="1"/>
  <c r="G7" i="19"/>
  <c r="G6" i="19"/>
  <c r="L132" i="19" l="1"/>
  <c r="AQ132" i="19"/>
  <c r="AQ134" i="19" s="1"/>
  <c r="N132" i="19"/>
  <c r="N134" i="19" s="1"/>
  <c r="H134" i="19"/>
  <c r="P49" i="19"/>
  <c r="AN125" i="19"/>
  <c r="AK58" i="19"/>
  <c r="AO125" i="19"/>
  <c r="AL59" i="19"/>
  <c r="AH132" i="19"/>
  <c r="AH134" i="19" s="1"/>
  <c r="AL57" i="19"/>
  <c r="AH125" i="19"/>
  <c r="AN132" i="19"/>
  <c r="AN134" i="19" s="1"/>
  <c r="AL51" i="19"/>
  <c r="AL55" i="19"/>
  <c r="AK60" i="19"/>
  <c r="AL56" i="19"/>
  <c r="AL61" i="19"/>
  <c r="AG125" i="19"/>
  <c r="AQ125" i="19"/>
  <c r="AO132" i="19"/>
  <c r="AO134" i="19" s="1"/>
  <c r="AK42" i="19"/>
  <c r="AL63" i="19"/>
  <c r="L125" i="19"/>
  <c r="AF125" i="19"/>
  <c r="AG132" i="19"/>
  <c r="AG134" i="19" s="1"/>
  <c r="AL53" i="19"/>
  <c r="AF132" i="19"/>
  <c r="AF134" i="19" s="1"/>
  <c r="AK62" i="19"/>
  <c r="AI132" i="19"/>
  <c r="AI134" i="19" s="1"/>
  <c r="J134" i="19"/>
  <c r="AD132" i="19"/>
  <c r="AD134" i="19" s="1"/>
  <c r="U125" i="19"/>
  <c r="AI125" i="19"/>
  <c r="H125" i="19"/>
  <c r="X125" i="19"/>
  <c r="I125" i="19"/>
  <c r="AA125" i="19"/>
  <c r="J125" i="19"/>
  <c r="AD125" i="19"/>
  <c r="K125" i="19"/>
  <c r="AE125" i="19"/>
  <c r="AM125" i="19"/>
  <c r="AE132" i="19"/>
  <c r="AE134" i="19" s="1"/>
  <c r="I134" i="19"/>
  <c r="AM26" i="19"/>
  <c r="AM42" i="19" s="1"/>
  <c r="AM132" i="19" s="1"/>
  <c r="AM134" i="19" s="1"/>
  <c r="AL46" i="19"/>
  <c r="AL48" i="19"/>
  <c r="AK50" i="19"/>
  <c r="AK52" i="19"/>
  <c r="AJ71" i="19"/>
  <c r="AJ132" i="19" s="1"/>
  <c r="AJ134" i="19" s="1"/>
  <c r="AK47" i="19"/>
  <c r="AK49" i="19"/>
  <c r="AK65" i="19"/>
  <c r="AL49" i="19"/>
  <c r="P132" i="19" l="1"/>
  <c r="P134" i="19" s="1"/>
  <c r="G132" i="19"/>
  <c r="G134" i="19" s="1"/>
  <c r="N125" i="19"/>
  <c r="R49" i="19"/>
  <c r="G125" i="19"/>
  <c r="L134" i="19"/>
  <c r="K134" i="19"/>
  <c r="AK71" i="19"/>
  <c r="AK132" i="19" s="1"/>
  <c r="AK134" i="19" s="1"/>
  <c r="AJ125" i="19"/>
  <c r="AL71" i="19"/>
  <c r="P125" i="19" l="1"/>
  <c r="R125" i="19" s="1"/>
  <c r="R71" i="19"/>
  <c r="AK125" i="19"/>
  <c r="AL125" i="19"/>
  <c r="AL132" i="19"/>
  <c r="AL134" i="19" s="1"/>
  <c r="R134" i="19" l="1"/>
  <c r="R132" i="19"/>
  <c r="B128" i="16"/>
  <c r="B127" i="16"/>
  <c r="F113" i="16" l="1"/>
  <c r="F114" i="16" s="1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83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66" i="16"/>
  <c r="F43" i="16"/>
  <c r="F44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42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25" i="16"/>
  <c r="F6" i="16"/>
  <c r="F5" i="16"/>
  <c r="F20" i="16"/>
  <c r="F21" i="16"/>
  <c r="F19" i="16"/>
  <c r="F11" i="16"/>
  <c r="F12" i="16"/>
  <c r="F13" i="16"/>
  <c r="F14" i="16"/>
  <c r="F15" i="16"/>
  <c r="F10" i="16"/>
  <c r="F16" i="16" s="1"/>
  <c r="M117" i="16"/>
  <c r="Q117" i="16"/>
  <c r="R117" i="16"/>
  <c r="S117" i="16"/>
  <c r="T117" i="16"/>
  <c r="U117" i="16"/>
  <c r="V117" i="16"/>
  <c r="W117" i="16"/>
  <c r="X117" i="16"/>
  <c r="Y117" i="16"/>
  <c r="Z117" i="16"/>
  <c r="AA117" i="16"/>
  <c r="AB117" i="16"/>
  <c r="AC117" i="16"/>
  <c r="AD117" i="16"/>
  <c r="AE117" i="16"/>
  <c r="K117" i="16"/>
  <c r="B126" i="16"/>
  <c r="M16" i="16"/>
  <c r="Q16" i="16"/>
  <c r="R16" i="16"/>
  <c r="S16" i="16"/>
  <c r="T16" i="16"/>
  <c r="U16" i="16"/>
  <c r="V16" i="16"/>
  <c r="W16" i="16"/>
  <c r="X16" i="16"/>
  <c r="Y16" i="16"/>
  <c r="Z16" i="16"/>
  <c r="AA16" i="16"/>
  <c r="AB16" i="16"/>
  <c r="AC16" i="16"/>
  <c r="AD16" i="16"/>
  <c r="AE16" i="16"/>
  <c r="K16" i="16"/>
  <c r="M22" i="16"/>
  <c r="Q22" i="16"/>
  <c r="R22" i="16"/>
  <c r="S22" i="16"/>
  <c r="T22" i="16"/>
  <c r="U22" i="16"/>
  <c r="V22" i="16"/>
  <c r="W22" i="16"/>
  <c r="X22" i="16"/>
  <c r="Y22" i="16"/>
  <c r="Z22" i="16"/>
  <c r="AA22" i="16"/>
  <c r="AB22" i="16"/>
  <c r="AC22" i="16"/>
  <c r="AD22" i="16"/>
  <c r="AE22" i="16"/>
  <c r="H117" i="16"/>
  <c r="G117" i="16"/>
  <c r="H79" i="16"/>
  <c r="I79" i="16"/>
  <c r="J79" i="16"/>
  <c r="K79" i="16"/>
  <c r="B131" i="16"/>
  <c r="M79" i="16"/>
  <c r="Q79" i="16"/>
  <c r="R79" i="16"/>
  <c r="S79" i="16"/>
  <c r="T79" i="16"/>
  <c r="U79" i="16"/>
  <c r="V79" i="16"/>
  <c r="W79" i="16"/>
  <c r="X79" i="16"/>
  <c r="Y79" i="16"/>
  <c r="Z79" i="16"/>
  <c r="AA79" i="16"/>
  <c r="AB79" i="16"/>
  <c r="AC79" i="16"/>
  <c r="AD79" i="16"/>
  <c r="AE79" i="16"/>
  <c r="G79" i="16"/>
  <c r="H62" i="16"/>
  <c r="I62" i="16"/>
  <c r="J62" i="16"/>
  <c r="K62" i="16"/>
  <c r="B130" i="16"/>
  <c r="Q62" i="16"/>
  <c r="R62" i="16"/>
  <c r="S62" i="16"/>
  <c r="T62" i="16"/>
  <c r="U62" i="16"/>
  <c r="V62" i="16"/>
  <c r="W62" i="16"/>
  <c r="X62" i="16"/>
  <c r="Y62" i="16"/>
  <c r="AC62" i="16"/>
  <c r="AD62" i="16"/>
  <c r="AE62" i="16"/>
  <c r="G62" i="16"/>
  <c r="H39" i="16"/>
  <c r="I39" i="16"/>
  <c r="J39" i="16"/>
  <c r="K39" i="16"/>
  <c r="B129" i="16"/>
  <c r="M39" i="16"/>
  <c r="Q39" i="16"/>
  <c r="R39" i="16"/>
  <c r="S39" i="16"/>
  <c r="T39" i="16"/>
  <c r="U39" i="16"/>
  <c r="V39" i="16"/>
  <c r="W39" i="16"/>
  <c r="X39" i="16"/>
  <c r="Y39" i="16"/>
  <c r="Z39" i="16"/>
  <c r="AD39" i="16"/>
  <c r="AE39" i="16"/>
  <c r="G39" i="16"/>
  <c r="H7" i="16"/>
  <c r="I7" i="16"/>
  <c r="J7" i="16"/>
  <c r="K7" i="16"/>
  <c r="B125" i="16"/>
  <c r="M7" i="16"/>
  <c r="Q7" i="16"/>
  <c r="R7" i="16"/>
  <c r="S7" i="16"/>
  <c r="T7" i="16"/>
  <c r="U7" i="16"/>
  <c r="V7" i="16"/>
  <c r="W7" i="16"/>
  <c r="X7" i="16"/>
  <c r="Y7" i="16"/>
  <c r="Z7" i="16"/>
  <c r="AA7" i="16"/>
  <c r="AB7" i="16"/>
  <c r="AC7" i="16"/>
  <c r="AD7" i="16"/>
  <c r="AE7" i="16"/>
  <c r="G7" i="16"/>
  <c r="G114" i="16"/>
  <c r="G106" i="16"/>
  <c r="G22" i="16"/>
  <c r="G16" i="16"/>
  <c r="F7" i="16" l="1"/>
  <c r="F22" i="16"/>
  <c r="F39" i="16"/>
  <c r="F79" i="16"/>
  <c r="F106" i="16"/>
  <c r="G116" i="16"/>
  <c r="G118" i="16" s="1"/>
  <c r="G110" i="16"/>
  <c r="B133" i="16" l="1"/>
  <c r="B132" i="16"/>
  <c r="I117" i="16"/>
  <c r="J117" i="16"/>
  <c r="J114" i="16" l="1"/>
  <c r="J106" i="16"/>
  <c r="J110" i="16" s="1"/>
  <c r="J22" i="16"/>
  <c r="J16" i="16"/>
  <c r="AA33" i="16"/>
  <c r="AC31" i="16"/>
  <c r="AC30" i="16"/>
  <c r="AC25" i="16"/>
  <c r="AA29" i="16"/>
  <c r="AB34" i="16"/>
  <c r="AB39" i="16" s="1"/>
  <c r="AA36" i="16"/>
  <c r="AA37" i="16"/>
  <c r="Z43" i="16"/>
  <c r="AA43" i="16" s="1"/>
  <c r="Z44" i="16"/>
  <c r="AA44" i="16" s="1"/>
  <c r="M45" i="16"/>
  <c r="Z45" i="16"/>
  <c r="Z46" i="16"/>
  <c r="AA46" i="16" s="1"/>
  <c r="Z47" i="16"/>
  <c r="AB47" i="16" s="1"/>
  <c r="Z48" i="16"/>
  <c r="AA48" i="16" s="1"/>
  <c r="Z49" i="16"/>
  <c r="AA49" i="16" s="1"/>
  <c r="Z51" i="16"/>
  <c r="AA51" i="16" s="1"/>
  <c r="Z52" i="16"/>
  <c r="AA52" i="16" s="1"/>
  <c r="Z54" i="16"/>
  <c r="AA54" i="16" s="1"/>
  <c r="Z55" i="16"/>
  <c r="AB55" i="16" s="1"/>
  <c r="Z56" i="16"/>
  <c r="AB56" i="16" s="1"/>
  <c r="Z58" i="16"/>
  <c r="AB58" i="16" s="1"/>
  <c r="Z59" i="16"/>
  <c r="AA59" i="16" s="1"/>
  <c r="Z61" i="16"/>
  <c r="AA61" i="16" s="1"/>
  <c r="Q64" i="16"/>
  <c r="Q81" i="16" s="1"/>
  <c r="R64" i="16"/>
  <c r="R81" i="16" s="1"/>
  <c r="M106" i="16"/>
  <c r="Q106" i="16"/>
  <c r="Q116" i="16" s="1"/>
  <c r="Q118" i="16" s="1"/>
  <c r="R106" i="16"/>
  <c r="R116" i="16" s="1"/>
  <c r="R118" i="16" s="1"/>
  <c r="S106" i="16"/>
  <c r="T106" i="16"/>
  <c r="T116" i="16" s="1"/>
  <c r="T118" i="16" s="1"/>
  <c r="U106" i="16"/>
  <c r="U116" i="16" s="1"/>
  <c r="U118" i="16" s="1"/>
  <c r="V106" i="16"/>
  <c r="V116" i="16" s="1"/>
  <c r="V118" i="16" s="1"/>
  <c r="W106" i="16"/>
  <c r="W116" i="16" s="1"/>
  <c r="W118" i="16" s="1"/>
  <c r="X106" i="16"/>
  <c r="X116" i="16" s="1"/>
  <c r="X118" i="16" s="1"/>
  <c r="Y106" i="16"/>
  <c r="Y116" i="16" s="1"/>
  <c r="Y118" i="16" s="1"/>
  <c r="Z106" i="16"/>
  <c r="AA106" i="16"/>
  <c r="AB106" i="16"/>
  <c r="AC106" i="16"/>
  <c r="AD106" i="16"/>
  <c r="AD116" i="16" s="1"/>
  <c r="AD118" i="16" s="1"/>
  <c r="AE106" i="16"/>
  <c r="AE116" i="16" s="1"/>
  <c r="AE118" i="16" s="1"/>
  <c r="M114" i="16"/>
  <c r="Q114" i="16"/>
  <c r="R114" i="16"/>
  <c r="S114" i="16"/>
  <c r="T114" i="16"/>
  <c r="U114" i="16"/>
  <c r="V114" i="16"/>
  <c r="W114" i="16"/>
  <c r="X114" i="16"/>
  <c r="Y114" i="16"/>
  <c r="Z114" i="16"/>
  <c r="AA114" i="16"/>
  <c r="AB114" i="16"/>
  <c r="AC114" i="16"/>
  <c r="AD114" i="16"/>
  <c r="AE114" i="16"/>
  <c r="K114" i="16"/>
  <c r="I114" i="16"/>
  <c r="H114" i="16"/>
  <c r="I106" i="16"/>
  <c r="H106" i="16"/>
  <c r="H110" i="16" s="1"/>
  <c r="K106" i="16"/>
  <c r="Z57" i="16"/>
  <c r="Z53" i="16"/>
  <c r="I22" i="16"/>
  <c r="H22" i="16"/>
  <c r="K19" i="16"/>
  <c r="I16" i="16"/>
  <c r="I116" i="16" s="1"/>
  <c r="I118" i="16" s="1"/>
  <c r="H16" i="16"/>
  <c r="M62" i="16" l="1"/>
  <c r="M110" i="16" s="1"/>
  <c r="F45" i="16"/>
  <c r="F62" i="16" s="1"/>
  <c r="F110" i="16" s="1"/>
  <c r="H116" i="16"/>
  <c r="H118" i="16" s="1"/>
  <c r="J116" i="16"/>
  <c r="J118" i="16" s="1"/>
  <c r="K22" i="16"/>
  <c r="K116" i="16"/>
  <c r="K118" i="16" s="1"/>
  <c r="S110" i="16"/>
  <c r="S116" i="16"/>
  <c r="S118" i="16" s="1"/>
  <c r="AC39" i="16"/>
  <c r="AB52" i="16"/>
  <c r="AA55" i="16"/>
  <c r="AA56" i="16"/>
  <c r="AB46" i="16"/>
  <c r="AA58" i="16"/>
  <c r="AB49" i="16"/>
  <c r="AB54" i="16"/>
  <c r="AA27" i="16"/>
  <c r="AA39" i="16" s="1"/>
  <c r="R110" i="16"/>
  <c r="Q110" i="16"/>
  <c r="X110" i="16"/>
  <c r="AB61" i="16"/>
  <c r="W110" i="16"/>
  <c r="Z42" i="16"/>
  <c r="AD110" i="16"/>
  <c r="V110" i="16"/>
  <c r="AC110" i="16"/>
  <c r="U110" i="16"/>
  <c r="AA45" i="16"/>
  <c r="Y110" i="16"/>
  <c r="T110" i="16"/>
  <c r="AE110" i="16"/>
  <c r="AB44" i="16"/>
  <c r="AA47" i="16"/>
  <c r="AB53" i="16"/>
  <c r="AA53" i="16"/>
  <c r="AB57" i="16"/>
  <c r="AB48" i="16"/>
  <c r="AB43" i="16"/>
  <c r="AA57" i="16"/>
  <c r="AB45" i="16"/>
  <c r="AB59" i="16"/>
  <c r="AB51" i="16"/>
  <c r="I110" i="16"/>
  <c r="M116" i="16" l="1"/>
  <c r="M118" i="16" s="1"/>
  <c r="AC116" i="16"/>
  <c r="AC118" i="16" s="1"/>
  <c r="AB42" i="16"/>
  <c r="AB62" i="16" s="1"/>
  <c r="AB116" i="16" s="1"/>
  <c r="Z62" i="16"/>
  <c r="Z116" i="16" s="1"/>
  <c r="AA42" i="16"/>
  <c r="AB64" i="16"/>
  <c r="K110" i="16"/>
  <c r="AA62" i="16" l="1"/>
  <c r="AB110" i="16"/>
  <c r="AB118" i="16"/>
  <c r="Z110" i="16"/>
  <c r="Z118" i="16"/>
  <c r="I43" i="4"/>
  <c r="C20" i="4"/>
  <c r="AA110" i="16" l="1"/>
  <c r="AA116" i="16"/>
  <c r="AA118" i="16" s="1"/>
  <c r="E51" i="4"/>
  <c r="F45" i="4"/>
  <c r="E44" i="4"/>
  <c r="F39" i="4"/>
  <c r="E38" i="4"/>
  <c r="E36" i="4"/>
  <c r="F35" i="4"/>
  <c r="E35" i="4"/>
  <c r="H34" i="4"/>
  <c r="F27" i="4"/>
  <c r="G27" i="4"/>
  <c r="H27" i="4"/>
  <c r="I27" i="4"/>
  <c r="J27" i="4"/>
  <c r="E27" i="4"/>
  <c r="J66" i="4"/>
  <c r="J62" i="4"/>
  <c r="J58" i="4"/>
  <c r="J13" i="4"/>
  <c r="J8" i="4"/>
  <c r="I66" i="4"/>
  <c r="I62" i="4"/>
  <c r="I58" i="4"/>
  <c r="I13" i="4"/>
  <c r="I8" i="4"/>
  <c r="J68" i="4" l="1"/>
  <c r="I68" i="4"/>
  <c r="G58" i="4"/>
  <c r="F58" i="4"/>
  <c r="E11" i="4" l="1"/>
  <c r="E33" i="4" l="1"/>
  <c r="E32" i="4"/>
  <c r="E58" i="4" s="1"/>
  <c r="U16" i="4" l="1"/>
  <c r="D55" i="4" l="1"/>
  <c r="D39" i="4"/>
  <c r="D33" i="4"/>
  <c r="D32" i="4"/>
  <c r="C35" i="4" l="1"/>
  <c r="C17" i="4" l="1"/>
  <c r="C16" i="4"/>
  <c r="D16" i="4" l="1"/>
  <c r="D17" i="4"/>
  <c r="D58" i="4" l="1"/>
  <c r="H58" i="4"/>
  <c r="D27" i="4"/>
  <c r="H66" i="4" l="1"/>
  <c r="H62" i="4"/>
  <c r="H13" i="4"/>
  <c r="H8" i="4"/>
  <c r="H68" i="4" l="1"/>
  <c r="D66" i="4"/>
  <c r="E66" i="4"/>
  <c r="F66" i="4"/>
  <c r="G66" i="4"/>
  <c r="D62" i="4"/>
  <c r="E62" i="4"/>
  <c r="F62" i="4"/>
  <c r="G62" i="4"/>
  <c r="D8" i="4"/>
  <c r="E8" i="4"/>
  <c r="F8" i="4"/>
  <c r="G8" i="4"/>
  <c r="G13" i="4" l="1"/>
  <c r="G68" i="4" s="1"/>
  <c r="F13" i="4"/>
  <c r="F68" i="4" s="1"/>
  <c r="E13" i="4"/>
  <c r="D13" i="4"/>
  <c r="D68" i="4" s="1"/>
  <c r="E68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Rantamäki Sinikka</author>
  </authors>
  <commentList>
    <comment ref="D1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Rantamäki Sinikka:
</t>
        </r>
        <r>
          <rPr>
            <sz val="9"/>
            <color indexed="81"/>
            <rFont val="Tahoma"/>
            <family val="2"/>
          </rPr>
          <t>vanha kirjasto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Kohonen Aki</author>
    <author>Vierikka Harri</author>
  </authors>
  <commentList>
    <comment ref="L20" authorId="0" shapeId="0" xr:uid="{D57F4236-7F90-48A1-8740-B44D6D960901}">
      <text>
        <r>
          <rPr>
            <b/>
            <sz val="9"/>
            <color indexed="81"/>
            <rFont val="Tahoma"/>
            <family val="2"/>
          </rPr>
          <t>Kohonen Aki:</t>
        </r>
        <r>
          <rPr>
            <sz val="9"/>
            <color indexed="81"/>
            <rFont val="Tahoma"/>
            <family val="2"/>
          </rPr>
          <t xml:space="preserve">
MuutosTA vähennys 1 020 500 € (Narvan Peuraniityn vuokraoikeus)+125 000 € (jätetään loppuvuodelle 2021 vielä mahdollisuus Kalalahden yritysalueen maakauppoja varten = 75 000 €)</t>
        </r>
      </text>
    </comment>
    <comment ref="O31" authorId="1" shapeId="0" xr:uid="{E46FAD53-AE72-4593-810C-303667C995A8}">
      <text>
        <r>
          <rPr>
            <b/>
            <sz val="9"/>
            <color indexed="81"/>
            <rFont val="Tahoma"/>
            <family val="2"/>
          </rPr>
          <t>Vierikka Harri:</t>
        </r>
        <r>
          <rPr>
            <sz val="9"/>
            <color indexed="81"/>
            <rFont val="Tahoma"/>
            <family val="2"/>
          </rPr>
          <t xml:space="preserve">
Yhtenäiskoulun tilojen muuttaminen päiväkotikäyttöön + Arkiston siirto yhtenäiskoululle</t>
        </r>
      </text>
    </comment>
    <comment ref="O37" authorId="0" shapeId="0" xr:uid="{08BF8910-2A4D-47A4-84E1-66298649449E}">
      <text>
        <r>
          <rPr>
            <b/>
            <sz val="9"/>
            <color indexed="81"/>
            <rFont val="Tahoma"/>
            <family val="2"/>
          </rPr>
          <t>Kohonen Aki:</t>
        </r>
        <r>
          <rPr>
            <sz val="9"/>
            <color indexed="81"/>
            <rFont val="Tahoma"/>
            <family val="2"/>
          </rPr>
          <t xml:space="preserve">
TA-muutos loppusyksystä?</t>
        </r>
      </text>
    </comment>
    <comment ref="S37" authorId="0" shapeId="0" xr:uid="{CDE76C9D-BBAE-4C59-A319-9B07F2940C0C}">
      <text>
        <r>
          <rPr>
            <b/>
            <sz val="9"/>
            <color indexed="81"/>
            <rFont val="Tahoma"/>
            <family val="2"/>
          </rPr>
          <t>Kohonen Aki:</t>
        </r>
        <r>
          <rPr>
            <sz val="9"/>
            <color indexed="81"/>
            <rFont val="Tahoma"/>
            <family val="2"/>
          </rPr>
          <t xml:space="preserve">
Vaikutukset alkavat arvio 07-08/2022. Laskut arviolta 6 erässä n. 300 t€/erä</t>
        </r>
      </text>
    </comment>
    <comment ref="S38" authorId="0" shapeId="0" xr:uid="{4D37FE2D-22FC-4A50-82BF-EBC6E6D05277}">
      <text>
        <r>
          <rPr>
            <b/>
            <sz val="9"/>
            <color indexed="81"/>
            <rFont val="Tahoma"/>
            <family val="2"/>
          </rPr>
          <t>Kohonen Aki:</t>
        </r>
        <r>
          <rPr>
            <sz val="9"/>
            <color indexed="81"/>
            <rFont val="Tahoma"/>
            <family val="2"/>
          </rPr>
          <t xml:space="preserve">
Vaikutukset alkavat kevät 2022</t>
        </r>
      </text>
    </comment>
    <comment ref="L45" authorId="0" shapeId="0" xr:uid="{7ACB0273-202E-4460-AE3E-40B16A93EBA5}">
      <text>
        <r>
          <rPr>
            <b/>
            <sz val="9"/>
            <color indexed="81"/>
            <rFont val="Tahoma"/>
            <family val="2"/>
          </rPr>
          <t>Kohonen Aki:</t>
        </r>
        <r>
          <rPr>
            <sz val="9"/>
            <color indexed="81"/>
            <rFont val="Tahoma"/>
            <family val="2"/>
          </rPr>
          <t xml:space="preserve">
MuutosTA lisäys 27 381 €</t>
        </r>
      </text>
    </comment>
    <comment ref="L54" authorId="0" shapeId="0" xr:uid="{5A95C0BA-C8D5-4AC3-8A49-1F2DD0627190}">
      <text>
        <r>
          <rPr>
            <b/>
            <sz val="9"/>
            <color indexed="81"/>
            <rFont val="Tahoma"/>
            <family val="2"/>
          </rPr>
          <t>Kohonen Aki:</t>
        </r>
        <r>
          <rPr>
            <sz val="9"/>
            <color indexed="81"/>
            <rFont val="Tahoma"/>
            <family val="2"/>
          </rPr>
          <t xml:space="preserve">
MuutosTA vähennys 190 000 €</t>
        </r>
      </text>
    </comment>
    <comment ref="L58" authorId="0" shapeId="0" xr:uid="{7391F08F-B271-4094-B833-7B7B6C5FA486}">
      <text>
        <r>
          <rPr>
            <b/>
            <sz val="9"/>
            <color indexed="81"/>
            <rFont val="Tahoma"/>
            <family val="2"/>
          </rPr>
          <t>Kohonen Aki:</t>
        </r>
        <r>
          <rPr>
            <sz val="9"/>
            <color indexed="81"/>
            <rFont val="Tahoma"/>
            <family val="2"/>
          </rPr>
          <t xml:space="preserve">
MuutosTA vähennys 250 000 €</t>
        </r>
      </text>
    </comment>
    <comment ref="L69" authorId="0" shapeId="0" xr:uid="{493406D8-0FF6-4C01-8703-6BD222390EE0}">
      <text>
        <r>
          <rPr>
            <b/>
            <sz val="9"/>
            <color indexed="81"/>
            <rFont val="Tahoma"/>
            <family val="2"/>
          </rPr>
          <t>Kohonen Aki:</t>
        </r>
        <r>
          <rPr>
            <sz val="9"/>
            <color indexed="81"/>
            <rFont val="Tahoma"/>
            <family val="2"/>
          </rPr>
          <t xml:space="preserve">
MuutosTA lisäys 15 000 €</t>
        </r>
      </text>
    </comment>
    <comment ref="L86" authorId="0" shapeId="0" xr:uid="{BB535A1F-72E1-43B7-BC89-24D4EED4459C}">
      <text>
        <r>
          <rPr>
            <b/>
            <sz val="9"/>
            <color indexed="81"/>
            <rFont val="Tahoma"/>
            <family val="2"/>
          </rPr>
          <t>Kohonen Aki:</t>
        </r>
        <r>
          <rPr>
            <sz val="9"/>
            <color indexed="81"/>
            <rFont val="Tahoma"/>
            <family val="2"/>
          </rPr>
          <t xml:space="preserve">
MuutosTA vähennys 15 000 €</t>
        </r>
      </text>
    </comment>
    <comment ref="L89" authorId="0" shapeId="0" xr:uid="{27184817-B2AE-4AC7-A840-74986970EDC0}">
      <text>
        <r>
          <rPr>
            <b/>
            <sz val="9"/>
            <color indexed="81"/>
            <rFont val="Tahoma"/>
            <family val="2"/>
          </rPr>
          <t>Kohonen Aki:</t>
        </r>
        <r>
          <rPr>
            <sz val="9"/>
            <color indexed="81"/>
            <rFont val="Tahoma"/>
            <family val="2"/>
          </rPr>
          <t xml:space="preserve">
MuutosTA lisäys 18 920 €</t>
        </r>
      </text>
    </comment>
    <comment ref="L93" authorId="0" shapeId="0" xr:uid="{0B0ED907-AA95-404A-A1B1-4D3714B60F37}">
      <text>
        <r>
          <rPr>
            <b/>
            <sz val="9"/>
            <color indexed="81"/>
            <rFont val="Tahoma"/>
            <family val="2"/>
          </rPr>
          <t>Kohonen Aki:</t>
        </r>
        <r>
          <rPr>
            <sz val="9"/>
            <color indexed="81"/>
            <rFont val="Tahoma"/>
            <family val="2"/>
          </rPr>
          <t xml:space="preserve">
MuutosTA vähennys 100 000 €</t>
        </r>
      </text>
    </comment>
    <comment ref="L94" authorId="0" shapeId="0" xr:uid="{EDF2F6B8-A205-422B-BF40-1D8CEBC31D65}">
      <text>
        <r>
          <rPr>
            <b/>
            <sz val="9"/>
            <color indexed="81"/>
            <rFont val="Tahoma"/>
            <family val="2"/>
          </rPr>
          <t>Kohonen Aki:</t>
        </r>
        <r>
          <rPr>
            <sz val="9"/>
            <color indexed="81"/>
            <rFont val="Tahoma"/>
            <family val="2"/>
          </rPr>
          <t xml:space="preserve">
MuutosTA vähennys 195 000 €</t>
        </r>
      </text>
    </comment>
    <comment ref="Q96" authorId="0" shapeId="0" xr:uid="{109B2E40-4BAE-42CF-977D-48350A4E0502}">
      <text>
        <r>
          <rPr>
            <b/>
            <sz val="9"/>
            <color indexed="81"/>
            <rFont val="Tahoma"/>
            <family val="2"/>
          </rPr>
          <t>Kohonen Aki:</t>
        </r>
        <r>
          <rPr>
            <sz val="9"/>
            <color indexed="81"/>
            <rFont val="Tahoma"/>
            <family val="2"/>
          </rPr>
          <t xml:space="preserve">
Ei toteudu v. 2022. Tehdään TA-muutos?</t>
        </r>
      </text>
    </comment>
    <comment ref="L98" authorId="0" shapeId="0" xr:uid="{C08A5DAB-ECDD-4574-A989-440C5202862F}">
      <text>
        <r>
          <rPr>
            <b/>
            <sz val="9"/>
            <color indexed="81"/>
            <rFont val="Tahoma"/>
            <family val="2"/>
          </rPr>
          <t>Kohonen Aki:</t>
        </r>
        <r>
          <rPr>
            <sz val="9"/>
            <color indexed="81"/>
            <rFont val="Tahoma"/>
            <family val="2"/>
          </rPr>
          <t xml:space="preserve">
MuutosTA lisäys 35 000 €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Kohonen Aki</author>
    <author>Vierikka Harri</author>
  </authors>
  <commentList>
    <comment ref="L20" authorId="0" shapeId="0" xr:uid="{2CE79FE9-45BD-47F5-9E74-9D8E5D46C94F}">
      <text>
        <r>
          <rPr>
            <b/>
            <sz val="9"/>
            <color indexed="81"/>
            <rFont val="Tahoma"/>
            <family val="2"/>
          </rPr>
          <t>Kohonen Aki:</t>
        </r>
        <r>
          <rPr>
            <sz val="9"/>
            <color indexed="81"/>
            <rFont val="Tahoma"/>
            <family val="2"/>
          </rPr>
          <t xml:space="preserve">
MuutosTA vähennys 1 020 500 € (Narvan Peuraniityn vuokraoikeus)+125 000 € (jätetään loppuvuodelle 2021 vielä mahdollisuus Kalalahden yritysalueen maakauppoja varten = 75 000 €)</t>
        </r>
      </text>
    </comment>
    <comment ref="N26" authorId="0" shapeId="0" xr:uid="{EC158730-895E-4A53-8F8B-57975B2411AE}">
      <text>
        <r>
          <rPr>
            <b/>
            <sz val="9"/>
            <color indexed="81"/>
            <rFont val="Tahoma"/>
            <family val="2"/>
          </rPr>
          <t>Kohonen Aki:</t>
        </r>
        <r>
          <rPr>
            <sz val="9"/>
            <color indexed="81"/>
            <rFont val="Tahoma"/>
            <family val="2"/>
          </rPr>
          <t xml:space="preserve">
 Automaation modernisointi ja puuosien huoltomaalaus</t>
        </r>
      </text>
    </comment>
    <comment ref="N28" authorId="0" shapeId="0" xr:uid="{4CCEAFA2-F322-496F-BC59-9926727E63C3}">
      <text>
        <r>
          <rPr>
            <b/>
            <sz val="9"/>
            <color indexed="81"/>
            <rFont val="Tahoma"/>
            <family val="2"/>
          </rPr>
          <t>Kohonen Aki:</t>
        </r>
        <r>
          <rPr>
            <sz val="9"/>
            <color indexed="81"/>
            <rFont val="Tahoma"/>
            <family val="2"/>
          </rPr>
          <t xml:space="preserve">
Automaation modernisointi ja lukituksen uusiminen</t>
        </r>
      </text>
    </comment>
    <comment ref="AQ28" authorId="0" shapeId="0" xr:uid="{1A6C36D5-1C91-4712-9646-F3A06FB8962D}">
      <text>
        <r>
          <rPr>
            <b/>
            <sz val="9"/>
            <color indexed="81"/>
            <rFont val="Tahoma"/>
            <family val="2"/>
          </rPr>
          <t>Kohonen Aki:</t>
        </r>
        <r>
          <rPr>
            <sz val="9"/>
            <color indexed="81"/>
            <rFont val="Tahoma"/>
            <family val="2"/>
          </rPr>
          <t xml:space="preserve">
55 000 - 65 000</t>
        </r>
      </text>
    </comment>
    <comment ref="N29" authorId="1" shapeId="0" xr:uid="{3A61EF42-6336-4A5B-9F4C-A3FA282EF482}">
      <text>
        <r>
          <rPr>
            <sz val="10"/>
            <rFont val="Arial"/>
            <family val="2"/>
          </rPr>
          <t>Vierikka Harri:
Narvan vanha tekninen
Kirkonkylän vanha tekninen</t>
        </r>
      </text>
    </comment>
    <comment ref="N30" authorId="0" shapeId="0" xr:uid="{29C92B15-C338-4366-AE69-BB198FB71B82}">
      <text>
        <r>
          <rPr>
            <b/>
            <sz val="9"/>
            <color indexed="81"/>
            <rFont val="Tahoma"/>
            <family val="2"/>
          </rPr>
          <t>Kohonen Aki:</t>
        </r>
        <r>
          <rPr>
            <sz val="9"/>
            <color indexed="81"/>
            <rFont val="Tahoma"/>
            <family val="2"/>
          </rPr>
          <t xml:space="preserve">
Kirjaston aurinkopaneelit ja akusto</t>
        </r>
      </text>
    </comment>
    <comment ref="N31" authorId="0" shapeId="0" xr:uid="{144379F5-7A70-40AC-AB3F-E0A3108386D4}">
      <text>
        <r>
          <rPr>
            <b/>
            <sz val="9"/>
            <color indexed="81"/>
            <rFont val="Tahoma"/>
            <family val="2"/>
          </rPr>
          <t>Kohonen Aki:</t>
        </r>
        <r>
          <rPr>
            <sz val="9"/>
            <color indexed="81"/>
            <rFont val="Tahoma"/>
            <family val="2"/>
          </rPr>
          <t xml:space="preserve">
Auditorion tekniikan uusiminen, vesikaton kunnostus, pintaremontit yläkoulun vanhalla puolella</t>
        </r>
      </text>
    </comment>
    <comment ref="O31" authorId="1" shapeId="0" xr:uid="{633796BA-AEF6-48C2-BD4D-AA8CB1A446B8}">
      <text>
        <r>
          <rPr>
            <b/>
            <sz val="9"/>
            <color indexed="81"/>
            <rFont val="Tahoma"/>
            <family val="2"/>
          </rPr>
          <t>Vierikka Harri:</t>
        </r>
        <r>
          <rPr>
            <sz val="9"/>
            <color indexed="81"/>
            <rFont val="Tahoma"/>
            <family val="2"/>
          </rPr>
          <t xml:space="preserve">
Yhtenäiskoulun tilojen muuttaminen päiväkotikäyttöön + Arkiston siirto yhtenäiskoululle</t>
        </r>
      </text>
    </comment>
    <comment ref="N32" authorId="0" shapeId="0" xr:uid="{1070BFCD-D4F7-47FA-AD41-A97FFEA41BD7}">
      <text>
        <r>
          <rPr>
            <b/>
            <sz val="9"/>
            <color indexed="81"/>
            <rFont val="Tahoma"/>
            <family val="2"/>
          </rPr>
          <t>Kohonen Aki:</t>
        </r>
        <r>
          <rPr>
            <sz val="9"/>
            <color indexed="81"/>
            <rFont val="Tahoma"/>
            <family val="2"/>
          </rPr>
          <t xml:space="preserve">
Automaation modernisointi, lukituksen uusiminen ja puuosien huoltomaalaus</t>
        </r>
      </text>
    </comment>
    <comment ref="U32" authorId="0" shapeId="0" xr:uid="{DE803D63-23CC-4B32-A60C-500A9DEC8BEB}">
      <text>
        <r>
          <rPr>
            <b/>
            <sz val="9"/>
            <color indexed="81"/>
            <rFont val="Tahoma"/>
            <family val="2"/>
          </rPr>
          <t>Kohonen Aki:</t>
        </r>
        <r>
          <rPr>
            <sz val="9"/>
            <color indexed="81"/>
            <rFont val="Tahoma"/>
            <family val="2"/>
          </rPr>
          <t xml:space="preserve">
Luokkatilojen pintaremontti, pysäköintialueen päällystäminen, valaistuksen uusiminen</t>
        </r>
      </text>
    </comment>
    <comment ref="X32" authorId="0" shapeId="0" xr:uid="{82A838E2-C96C-4ECD-9B76-B4FE76ABF062}">
      <text>
        <r>
          <rPr>
            <b/>
            <sz val="9"/>
            <color indexed="81"/>
            <rFont val="Tahoma"/>
            <family val="2"/>
          </rPr>
          <t>Kohonen Aki:</t>
        </r>
        <r>
          <rPr>
            <sz val="9"/>
            <color indexed="81"/>
            <rFont val="Tahoma"/>
            <family val="2"/>
          </rPr>
          <t xml:space="preserve">
Luokkatilojen pintaremontti jatkuu, valaistuksen uusiminen, käyttövesi- ja lämmitysputkien uusiminen</t>
        </r>
      </text>
    </comment>
    <comment ref="N33" authorId="0" shapeId="0" xr:uid="{6F1452D8-146D-4BD2-A3A4-EFC948114AC8}">
      <text>
        <r>
          <rPr>
            <b/>
            <sz val="9"/>
            <color indexed="81"/>
            <rFont val="Tahoma"/>
            <family val="2"/>
          </rPr>
          <t>Kohonen Aki:</t>
        </r>
        <r>
          <rPr>
            <sz val="9"/>
            <color indexed="81"/>
            <rFont val="Tahoma"/>
            <family val="2"/>
          </rPr>
          <t xml:space="preserve">
Automaation modernisointi </t>
        </r>
      </text>
    </comment>
    <comment ref="U33" authorId="0" shapeId="0" xr:uid="{8B78937E-568F-4AF3-A3E4-3266971271B8}">
      <text>
        <r>
          <rPr>
            <b/>
            <sz val="9"/>
            <color indexed="81"/>
            <rFont val="Tahoma"/>
            <family val="2"/>
          </rPr>
          <t>Kohonen Aki:</t>
        </r>
        <r>
          <rPr>
            <sz val="9"/>
            <color indexed="81"/>
            <rFont val="Tahoma"/>
            <family val="2"/>
          </rPr>
          <t xml:space="preserve">
Julkisivun huoltomaalaus ja lukituksen uusiminen</t>
        </r>
      </text>
    </comment>
    <comment ref="N34" authorId="0" shapeId="0" xr:uid="{28558534-FB5B-42AD-91A3-C1635AAD4E51}">
      <text>
        <r>
          <rPr>
            <b/>
            <sz val="9"/>
            <color indexed="81"/>
            <rFont val="Tahoma"/>
            <family val="2"/>
          </rPr>
          <t>Kohonen Aki:</t>
        </r>
        <r>
          <rPr>
            <sz val="9"/>
            <color indexed="81"/>
            <rFont val="Tahoma"/>
            <family val="2"/>
          </rPr>
          <t xml:space="preserve">
Automaation modernisointi</t>
        </r>
      </text>
    </comment>
    <comment ref="N35" authorId="0" shapeId="0" xr:uid="{D4A2A7B4-7EF0-4531-9D3B-DA25726FA8E6}">
      <text>
        <r>
          <rPr>
            <b/>
            <sz val="9"/>
            <color indexed="81"/>
            <rFont val="Tahoma"/>
            <family val="2"/>
          </rPr>
          <t>Kohonen Aki:</t>
        </r>
        <r>
          <rPr>
            <sz val="9"/>
            <color indexed="81"/>
            <rFont val="Tahoma"/>
            <family val="2"/>
          </rPr>
          <t xml:space="preserve">
Automaation modernisointi, viemäreiden, sala- ja sadevesiputkien kuvaaminen
Vastaus:
    2x ilmalämpöpumppu</t>
        </r>
      </text>
    </comment>
    <comment ref="U35" authorId="0" shapeId="0" xr:uid="{99BE4BF5-F145-4F40-8D88-1C5AE273DA7C}">
      <text>
        <r>
          <rPr>
            <b/>
            <sz val="9"/>
            <color indexed="81"/>
            <rFont val="Tahoma"/>
            <family val="2"/>
          </rPr>
          <t>Kohonen Aki:</t>
        </r>
        <r>
          <rPr>
            <sz val="9"/>
            <color indexed="81"/>
            <rFont val="Tahoma"/>
            <family val="2"/>
          </rPr>
          <t xml:space="preserve">
 Lukituksen uusiminen, julkisivun huoltomaalaukset</t>
        </r>
      </text>
    </comment>
    <comment ref="O37" authorId="0" shapeId="0" xr:uid="{9FE9B927-37BF-4D29-B208-0422E9DC9A7B}">
      <text>
        <r>
          <rPr>
            <b/>
            <sz val="9"/>
            <color indexed="81"/>
            <rFont val="Tahoma"/>
            <family val="2"/>
          </rPr>
          <t>Kohonen Aki:</t>
        </r>
        <r>
          <rPr>
            <sz val="9"/>
            <color indexed="81"/>
            <rFont val="Tahoma"/>
            <family val="2"/>
          </rPr>
          <t xml:space="preserve">
TA-muutos loppusyksystä?</t>
        </r>
      </text>
    </comment>
    <comment ref="S37" authorId="0" shapeId="0" xr:uid="{CBE4755C-737E-41FE-AD85-8072484BFDF5}">
      <text>
        <r>
          <rPr>
            <b/>
            <sz val="9"/>
            <color indexed="81"/>
            <rFont val="Tahoma"/>
            <family val="2"/>
          </rPr>
          <t>Kohonen Aki:</t>
        </r>
        <r>
          <rPr>
            <sz val="9"/>
            <color indexed="81"/>
            <rFont val="Tahoma"/>
            <family val="2"/>
          </rPr>
          <t xml:space="preserve">
Vaikutukset alkavat arvio 07-08/2022. Laskut arviolta 6 erässä n. 300 t€/erä</t>
        </r>
      </text>
    </comment>
    <comment ref="S38" authorId="0" shapeId="0" xr:uid="{A1735239-E024-49A0-BEC0-533C33D2DEA7}">
      <text>
        <r>
          <rPr>
            <b/>
            <sz val="9"/>
            <color indexed="81"/>
            <rFont val="Tahoma"/>
            <family val="2"/>
          </rPr>
          <t>Kohonen Aki:</t>
        </r>
        <r>
          <rPr>
            <sz val="9"/>
            <color indexed="81"/>
            <rFont val="Tahoma"/>
            <family val="2"/>
          </rPr>
          <t xml:space="preserve">
Vaikutukset alkavat kevät 2022</t>
        </r>
      </text>
    </comment>
    <comment ref="L46" authorId="0" shapeId="0" xr:uid="{A7F9B7CD-2DEE-45F6-9CD8-E9985C05C7DE}">
      <text>
        <r>
          <rPr>
            <b/>
            <sz val="9"/>
            <color indexed="81"/>
            <rFont val="Tahoma"/>
            <family val="2"/>
          </rPr>
          <t>Kohonen Aki:</t>
        </r>
        <r>
          <rPr>
            <sz val="9"/>
            <color indexed="81"/>
            <rFont val="Tahoma"/>
            <family val="2"/>
          </rPr>
          <t xml:space="preserve">
MuutosTA lisäys 27 381 €</t>
        </r>
      </text>
    </comment>
    <comment ref="L56" authorId="0" shapeId="0" xr:uid="{6897A9CA-1857-4C1C-826E-1EBE1FED345D}">
      <text>
        <r>
          <rPr>
            <b/>
            <sz val="9"/>
            <color indexed="81"/>
            <rFont val="Tahoma"/>
            <family val="2"/>
          </rPr>
          <t>Kohonen Aki:</t>
        </r>
        <r>
          <rPr>
            <sz val="9"/>
            <color indexed="81"/>
            <rFont val="Tahoma"/>
            <family val="2"/>
          </rPr>
          <t xml:space="preserve">
MuutosTA vähennys 100 000 €</t>
        </r>
      </text>
    </comment>
    <comment ref="L57" authorId="0" shapeId="0" xr:uid="{A4ABF159-ED8E-4290-9C2B-B9D83EAAB0D4}">
      <text>
        <r>
          <rPr>
            <b/>
            <sz val="9"/>
            <color indexed="81"/>
            <rFont val="Tahoma"/>
            <family val="2"/>
          </rPr>
          <t>Kohonen Aki:</t>
        </r>
        <r>
          <rPr>
            <sz val="9"/>
            <color indexed="81"/>
            <rFont val="Tahoma"/>
            <family val="2"/>
          </rPr>
          <t xml:space="preserve">
MuutosTA vähennys 190 000 €</t>
        </r>
      </text>
    </comment>
    <comment ref="N57" authorId="0" shapeId="0" xr:uid="{5D33C56F-CE4A-488C-AFE6-529DD89D3DF4}">
      <text>
        <r>
          <rPr>
            <b/>
            <sz val="9"/>
            <color indexed="81"/>
            <rFont val="Tahoma"/>
            <family val="2"/>
          </rPr>
          <t>Kohonen Aki:</t>
        </r>
        <r>
          <rPr>
            <sz val="9"/>
            <color indexed="81"/>
            <rFont val="Tahoma"/>
            <family val="2"/>
          </rPr>
          <t xml:space="preserve">
Lisää yritysalueen tasaus ja katso tien rakentamisen kustannukset</t>
        </r>
      </text>
    </comment>
    <comment ref="L61" authorId="0" shapeId="0" xr:uid="{B38204AD-7A78-4A54-86D5-994BB033C92D}">
      <text>
        <r>
          <rPr>
            <b/>
            <sz val="9"/>
            <color indexed="81"/>
            <rFont val="Tahoma"/>
            <family val="2"/>
          </rPr>
          <t>Kohonen Aki:</t>
        </r>
        <r>
          <rPr>
            <sz val="9"/>
            <color indexed="81"/>
            <rFont val="Tahoma"/>
            <family val="2"/>
          </rPr>
          <t xml:space="preserve">
MuutosTA vähennys 250 000 €</t>
        </r>
      </text>
    </comment>
    <comment ref="L76" authorId="0" shapeId="0" xr:uid="{FC12ECE1-988F-4A80-82B1-CB2C2E86AE7A}">
      <text>
        <r>
          <rPr>
            <b/>
            <sz val="9"/>
            <color indexed="81"/>
            <rFont val="Tahoma"/>
            <family val="2"/>
          </rPr>
          <t>Kohonen Aki:</t>
        </r>
        <r>
          <rPr>
            <sz val="9"/>
            <color indexed="81"/>
            <rFont val="Tahoma"/>
            <family val="2"/>
          </rPr>
          <t xml:space="preserve">
MuutosTA lisäys 15 000 €</t>
        </r>
      </text>
    </comment>
    <comment ref="L97" authorId="0" shapeId="0" xr:uid="{DBD89BC9-ADA5-4D72-A885-EFBBCB9FB228}">
      <text>
        <r>
          <rPr>
            <b/>
            <sz val="9"/>
            <color indexed="81"/>
            <rFont val="Tahoma"/>
            <family val="2"/>
          </rPr>
          <t>Kohonen Aki:</t>
        </r>
        <r>
          <rPr>
            <sz val="9"/>
            <color indexed="81"/>
            <rFont val="Tahoma"/>
            <family val="2"/>
          </rPr>
          <t xml:space="preserve">
MuutosTA vähennys 15 000 €</t>
        </r>
      </text>
    </comment>
    <comment ref="L100" authorId="0" shapeId="0" xr:uid="{431696FC-7968-4702-92D4-699F530EA38D}">
      <text>
        <r>
          <rPr>
            <b/>
            <sz val="9"/>
            <color indexed="81"/>
            <rFont val="Tahoma"/>
            <family val="2"/>
          </rPr>
          <t>Kohonen Aki:</t>
        </r>
        <r>
          <rPr>
            <sz val="9"/>
            <color indexed="81"/>
            <rFont val="Tahoma"/>
            <family val="2"/>
          </rPr>
          <t xml:space="preserve">
MuutosTA lisäys 18 920 €</t>
        </r>
      </text>
    </comment>
    <comment ref="L104" authorId="0" shapeId="0" xr:uid="{6AFCD5EB-549F-4640-AFE0-F1CAB164FB4E}">
      <text>
        <r>
          <rPr>
            <b/>
            <sz val="9"/>
            <color indexed="81"/>
            <rFont val="Tahoma"/>
            <family val="2"/>
          </rPr>
          <t>Kohonen Aki:</t>
        </r>
        <r>
          <rPr>
            <sz val="9"/>
            <color indexed="81"/>
            <rFont val="Tahoma"/>
            <family val="2"/>
          </rPr>
          <t xml:space="preserve">
MuutosTA vähennys 100 000 €</t>
        </r>
      </text>
    </comment>
    <comment ref="L105" authorId="0" shapeId="0" xr:uid="{EEEFD0FE-50E0-42C2-86A6-29C8AE1D71B3}">
      <text>
        <r>
          <rPr>
            <b/>
            <sz val="9"/>
            <color indexed="81"/>
            <rFont val="Tahoma"/>
            <family val="2"/>
          </rPr>
          <t>Kohonen Aki:</t>
        </r>
        <r>
          <rPr>
            <sz val="9"/>
            <color indexed="81"/>
            <rFont val="Tahoma"/>
            <family val="2"/>
          </rPr>
          <t xml:space="preserve">
MuutosTA vähennys 195 000 €</t>
        </r>
      </text>
    </comment>
    <comment ref="N106" authorId="0" shapeId="0" xr:uid="{1AD963A6-44F6-4734-A3D2-EF14E4583DEB}">
      <text>
        <r>
          <rPr>
            <b/>
            <sz val="9"/>
            <color indexed="81"/>
            <rFont val="Tahoma"/>
            <family val="2"/>
          </rPr>
          <t>Kohonen Aki:</t>
        </r>
        <r>
          <rPr>
            <sz val="9"/>
            <color indexed="81"/>
            <rFont val="Tahoma"/>
            <family val="2"/>
          </rPr>
          <t xml:space="preserve">
Viemäriverkoston saneeraus</t>
        </r>
      </text>
    </comment>
    <comment ref="N107" authorId="0" shapeId="0" xr:uid="{596B6C13-9DC3-43F6-BDCF-526257C0FCFB}">
      <text>
        <r>
          <rPr>
            <b/>
            <sz val="9"/>
            <color indexed="81"/>
            <rFont val="Tahoma"/>
            <family val="2"/>
          </rPr>
          <t>Kohonen Aki:</t>
        </r>
        <r>
          <rPr>
            <sz val="9"/>
            <color indexed="81"/>
            <rFont val="Tahoma"/>
            <family val="2"/>
          </rPr>
          <t xml:space="preserve">
Vesijohtoverkoston saneerauksen suunnittelu</t>
        </r>
      </text>
    </comment>
    <comment ref="Q107" authorId="0" shapeId="0" xr:uid="{57A948F6-9332-47B3-B96F-C15B3A515C3C}">
      <text>
        <r>
          <rPr>
            <b/>
            <sz val="9"/>
            <color indexed="81"/>
            <rFont val="Tahoma"/>
            <family val="2"/>
          </rPr>
          <t>Kohonen Aki:</t>
        </r>
        <r>
          <rPr>
            <sz val="9"/>
            <color indexed="81"/>
            <rFont val="Tahoma"/>
            <family val="2"/>
          </rPr>
          <t xml:space="preserve">
Ei toteudu v. 2022. Tehdään TA-muutos?</t>
        </r>
      </text>
    </comment>
    <comment ref="L109" authorId="0" shapeId="0" xr:uid="{6F4D1D98-D0D4-46D6-A76D-ADB8AE3700BB}">
      <text>
        <r>
          <rPr>
            <b/>
            <sz val="9"/>
            <color indexed="81"/>
            <rFont val="Tahoma"/>
            <family val="2"/>
          </rPr>
          <t>Kohonen Aki:</t>
        </r>
        <r>
          <rPr>
            <sz val="9"/>
            <color indexed="81"/>
            <rFont val="Tahoma"/>
            <family val="2"/>
          </rPr>
          <t xml:space="preserve">
MuutosTA lisäys 35 000 €</t>
        </r>
      </text>
    </comment>
    <comment ref="N109" authorId="0" shapeId="0" xr:uid="{087C0856-BAC7-4055-9E7E-035E9F3679BE}">
      <text>
        <r>
          <rPr>
            <b/>
            <sz val="9"/>
            <color indexed="81"/>
            <rFont val="Tahoma"/>
            <family val="2"/>
          </rPr>
          <t>Kohonen Aki:</t>
        </r>
        <r>
          <rPr>
            <sz val="9"/>
            <color indexed="81"/>
            <rFont val="Tahoma"/>
            <family val="2"/>
          </rPr>
          <t xml:space="preserve">
Hulevesilinjojen jatkaminen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Kohonen Aki</author>
    <author>Vierikka Harri</author>
  </authors>
  <commentList>
    <comment ref="K19" authorId="0" shapeId="0" xr:uid="{D9A01CE3-56F0-4C64-B106-05A04198AE26}">
      <text>
        <r>
          <rPr>
            <b/>
            <sz val="9"/>
            <color indexed="81"/>
            <rFont val="Tahoma"/>
            <family val="2"/>
          </rPr>
          <t>Kohonen Aki:</t>
        </r>
        <r>
          <rPr>
            <sz val="9"/>
            <color indexed="81"/>
            <rFont val="Tahoma"/>
            <family val="2"/>
          </rPr>
          <t xml:space="preserve">
MuutosTA vähennys 1 020 500 € (Narvan Peuraniityn vuokraoikeus)+125 000 € (jätetään loppuvuodelle 2021 vielä mahdollisuus Kalalahden yritysalueen maakauppoja varten = 75 000 €)</t>
        </r>
      </text>
    </comment>
    <comment ref="M25" authorId="0" shapeId="0" xr:uid="{D30838D1-E6F3-45D5-B865-FD2E4368774C}">
      <text>
        <r>
          <rPr>
            <b/>
            <sz val="9"/>
            <color indexed="81"/>
            <rFont val="Tahoma"/>
            <family val="2"/>
          </rPr>
          <t>Kohonen Aki:</t>
        </r>
        <r>
          <rPr>
            <sz val="9"/>
            <color indexed="81"/>
            <rFont val="Tahoma"/>
            <family val="2"/>
          </rPr>
          <t xml:space="preserve">
 Automaation modernisointi ja puuosien huoltomaalaus</t>
        </r>
      </text>
    </comment>
    <comment ref="M27" authorId="0" shapeId="0" xr:uid="{0F1C8A3E-C2A6-4CD8-AFCF-6D3E53EDDC35}">
      <text>
        <r>
          <rPr>
            <b/>
            <sz val="9"/>
            <color indexed="81"/>
            <rFont val="Tahoma"/>
            <family val="2"/>
          </rPr>
          <t>Kohonen Aki:</t>
        </r>
        <r>
          <rPr>
            <sz val="9"/>
            <color indexed="81"/>
            <rFont val="Tahoma"/>
            <family val="2"/>
          </rPr>
          <t xml:space="preserve">
Automaation modernisointi ja lukituksen uusiminen</t>
        </r>
      </text>
    </comment>
    <comment ref="M28" authorId="1" shapeId="0" xr:uid="{EE45E9EA-2626-4415-A41E-44EDFE966120}">
      <text>
        <r>
          <rPr>
            <sz val="10"/>
            <rFont val="Arial"/>
            <family val="2"/>
          </rPr>
          <t>Vierikka Harri:
Narvan vanha tekninen
Kirkonkylän vanha tekninen</t>
        </r>
      </text>
    </comment>
    <comment ref="O36" authorId="0" shapeId="0" xr:uid="{72FDFB98-776E-4980-89C2-445FC58719FA}">
      <text>
        <r>
          <rPr>
            <b/>
            <sz val="9"/>
            <color indexed="81"/>
            <rFont val="Tahoma"/>
            <family val="2"/>
          </rPr>
          <t>Kohonen Aki:</t>
        </r>
        <r>
          <rPr>
            <sz val="9"/>
            <color indexed="81"/>
            <rFont val="Tahoma"/>
            <family val="2"/>
          </rPr>
          <t xml:space="preserve">
Vaikutukset alkavat arvio 07-08/2022. Laskut arviolta 6 erässä n. 300 t€/erä</t>
        </r>
      </text>
    </comment>
    <comment ref="O37" authorId="0" shapeId="0" xr:uid="{2E4706E5-BA28-4774-B485-C7FDCE9E147A}">
      <text>
        <r>
          <rPr>
            <b/>
            <sz val="9"/>
            <color indexed="81"/>
            <rFont val="Tahoma"/>
            <family val="2"/>
          </rPr>
          <t>Kohonen Aki:</t>
        </r>
        <r>
          <rPr>
            <sz val="9"/>
            <color indexed="81"/>
            <rFont val="Tahoma"/>
            <family val="2"/>
          </rPr>
          <t xml:space="preserve">
Vaikutukset alkavat kevät 2022</t>
        </r>
      </text>
    </comment>
    <comment ref="K42" authorId="0" shapeId="0" xr:uid="{BF29375B-0DED-4AD4-BAF9-FA3BE76E07C9}">
      <text>
        <r>
          <rPr>
            <b/>
            <sz val="9"/>
            <color indexed="81"/>
            <rFont val="Tahoma"/>
            <family val="2"/>
          </rPr>
          <t>Kohonen Aki:</t>
        </r>
        <r>
          <rPr>
            <sz val="9"/>
            <color indexed="81"/>
            <rFont val="Tahoma"/>
            <family val="2"/>
          </rPr>
          <t xml:space="preserve">
MuutosTA lisäys 27 381 €</t>
        </r>
      </text>
    </comment>
    <comment ref="K52" authorId="0" shapeId="0" xr:uid="{C6A16945-796D-4C6A-B9B9-0364AEFF9AE4}">
      <text>
        <r>
          <rPr>
            <b/>
            <sz val="9"/>
            <color indexed="81"/>
            <rFont val="Tahoma"/>
            <family val="2"/>
          </rPr>
          <t>Kohonen Aki:</t>
        </r>
        <r>
          <rPr>
            <sz val="9"/>
            <color indexed="81"/>
            <rFont val="Tahoma"/>
            <family val="2"/>
          </rPr>
          <t xml:space="preserve">
MuutosTA vähennys 100 000 €</t>
        </r>
      </text>
    </comment>
    <comment ref="K53" authorId="0" shapeId="0" xr:uid="{AFD6BBC9-BB9D-4BC3-8D68-B2434091A727}">
      <text>
        <r>
          <rPr>
            <b/>
            <sz val="9"/>
            <color indexed="81"/>
            <rFont val="Tahoma"/>
            <family val="2"/>
          </rPr>
          <t>Kohonen Aki:</t>
        </r>
        <r>
          <rPr>
            <sz val="9"/>
            <color indexed="81"/>
            <rFont val="Tahoma"/>
            <family val="2"/>
          </rPr>
          <t xml:space="preserve">
MuutosTA vähennys 190 000 €</t>
        </r>
      </text>
    </comment>
    <comment ref="K57" authorId="0" shapeId="0" xr:uid="{F55BFB54-621E-4DF9-A5BC-6A209BA94F44}">
      <text>
        <r>
          <rPr>
            <b/>
            <sz val="9"/>
            <color indexed="81"/>
            <rFont val="Tahoma"/>
            <family val="2"/>
          </rPr>
          <t>Kohonen Aki:</t>
        </r>
        <r>
          <rPr>
            <sz val="9"/>
            <color indexed="81"/>
            <rFont val="Tahoma"/>
            <family val="2"/>
          </rPr>
          <t xml:space="preserve">
MuutosTA vähennys 250 000 €</t>
        </r>
      </text>
    </comment>
    <comment ref="K68" authorId="0" shapeId="0" xr:uid="{1A1EE27E-AD64-4999-84F1-9C423F5243CA}">
      <text>
        <r>
          <rPr>
            <b/>
            <sz val="9"/>
            <color indexed="81"/>
            <rFont val="Tahoma"/>
            <family val="2"/>
          </rPr>
          <t>Kohonen Aki:</t>
        </r>
        <r>
          <rPr>
            <sz val="9"/>
            <color indexed="81"/>
            <rFont val="Tahoma"/>
            <family val="2"/>
          </rPr>
          <t xml:space="preserve">
MuutosTA lisäys 15 000 €</t>
        </r>
      </text>
    </comment>
    <comment ref="K85" authorId="0" shapeId="0" xr:uid="{E8C88056-A519-4B9C-8AAD-202697781F3D}">
      <text>
        <r>
          <rPr>
            <b/>
            <sz val="9"/>
            <color indexed="81"/>
            <rFont val="Tahoma"/>
            <family val="2"/>
          </rPr>
          <t>Kohonen Aki:</t>
        </r>
        <r>
          <rPr>
            <sz val="9"/>
            <color indexed="81"/>
            <rFont val="Tahoma"/>
            <family val="2"/>
          </rPr>
          <t xml:space="preserve">
MuutosTA vähennys 15 000 €</t>
        </r>
      </text>
    </comment>
    <comment ref="K88" authorId="0" shapeId="0" xr:uid="{12A93D51-9381-4348-BDC7-8A433B11FE12}">
      <text>
        <r>
          <rPr>
            <b/>
            <sz val="9"/>
            <color indexed="81"/>
            <rFont val="Tahoma"/>
            <family val="2"/>
          </rPr>
          <t>Kohonen Aki:</t>
        </r>
        <r>
          <rPr>
            <sz val="9"/>
            <color indexed="81"/>
            <rFont val="Tahoma"/>
            <family val="2"/>
          </rPr>
          <t xml:space="preserve">
MuutosTA lisäys 18 920 €</t>
        </r>
      </text>
    </comment>
    <comment ref="K92" authorId="0" shapeId="0" xr:uid="{BA25D55E-0333-4E6B-B1C2-ACEF11CD4B03}">
      <text>
        <r>
          <rPr>
            <b/>
            <sz val="9"/>
            <color indexed="81"/>
            <rFont val="Tahoma"/>
            <family val="2"/>
          </rPr>
          <t>Kohonen Aki:</t>
        </r>
        <r>
          <rPr>
            <sz val="9"/>
            <color indexed="81"/>
            <rFont val="Tahoma"/>
            <family val="2"/>
          </rPr>
          <t xml:space="preserve">
MuutosTA vähennys 100 000 €</t>
        </r>
      </text>
    </comment>
    <comment ref="K93" authorId="0" shapeId="0" xr:uid="{07709740-8580-4E09-A8D9-9286061E92A4}">
      <text>
        <r>
          <rPr>
            <b/>
            <sz val="9"/>
            <color indexed="81"/>
            <rFont val="Tahoma"/>
            <family val="2"/>
          </rPr>
          <t>Kohonen Aki:</t>
        </r>
        <r>
          <rPr>
            <sz val="9"/>
            <color indexed="81"/>
            <rFont val="Tahoma"/>
            <family val="2"/>
          </rPr>
          <t xml:space="preserve">
MuutosTA vähennys 195 000 €</t>
        </r>
      </text>
    </comment>
    <comment ref="K97" authorId="0" shapeId="0" xr:uid="{0BBE4223-470A-4FAF-B316-E9BF77DDDC6A}">
      <text>
        <r>
          <rPr>
            <b/>
            <sz val="9"/>
            <color indexed="81"/>
            <rFont val="Tahoma"/>
            <family val="2"/>
          </rPr>
          <t>Kohonen Aki:</t>
        </r>
        <r>
          <rPr>
            <sz val="9"/>
            <color indexed="81"/>
            <rFont val="Tahoma"/>
            <family val="2"/>
          </rPr>
          <t xml:space="preserve">
MuutosTA lisäys 35 000 €</t>
        </r>
      </text>
    </comment>
  </commentList>
</comments>
</file>

<file path=xl/sharedStrings.xml><?xml version="1.0" encoding="utf-8"?>
<sst xmlns="http://schemas.openxmlformats.org/spreadsheetml/2006/main" count="1092" uniqueCount="270">
  <si>
    <t>INVESTOINTIOSA VUOSILLE 2019-2021</t>
  </si>
  <si>
    <t>€</t>
  </si>
  <si>
    <t>Hanketyyppi</t>
  </si>
  <si>
    <t>Kokonaiskustannusarvio</t>
  </si>
  <si>
    <t>Huomiot</t>
  </si>
  <si>
    <t>Muut pitkävaikutteiset menot</t>
  </si>
  <si>
    <t>Vesilahden valokuituhanke (laajakaista) ¹)</t>
  </si>
  <si>
    <t>uusinvestointi</t>
  </si>
  <si>
    <t>Mt 301 Keihonen-Kilpala maantien parantaminen, kunnan osuus</t>
  </si>
  <si>
    <t>korvausinvestointi</t>
  </si>
  <si>
    <t>Epävarma</t>
  </si>
  <si>
    <t>pois MT2018</t>
  </si>
  <si>
    <t>Lempäälän jätevedenpuhdistamon saneeraus, Vesilahden osuus</t>
  </si>
  <si>
    <t>Selvitä sopimus!!</t>
  </si>
  <si>
    <t>loppuu 2025?</t>
  </si>
  <si>
    <t>Kysy Lempäälän vedeltä</t>
  </si>
  <si>
    <t>Muut pitkävaikutteiset menot yhteensä</t>
  </si>
  <si>
    <t>pois investoinneista tilintarkastajan ohje</t>
  </si>
  <si>
    <t>Maa- ja vesialueet</t>
  </si>
  <si>
    <t>Maa-alueet</t>
  </si>
  <si>
    <t>lisätty 22.11.18 390.000€</t>
  </si>
  <si>
    <t>Maa-alueet/tonttien myyntihinnat</t>
  </si>
  <si>
    <t>Tarkistettava toteutus, vietävä valtuustoon.</t>
  </si>
  <si>
    <t>Maa-alueet yhteensä</t>
  </si>
  <si>
    <t>Rakennukset</t>
  </si>
  <si>
    <r>
      <t xml:space="preserve">Pääkirjaston rakentaminen </t>
    </r>
    <r>
      <rPr>
        <vertAlign val="superscript"/>
        <sz val="9"/>
        <rFont val="Arial"/>
        <family val="2"/>
      </rPr>
      <t>2)</t>
    </r>
  </si>
  <si>
    <t>siirretty vuodelta 2017 40.000, 2016 vuodelta 582.386 + kalusteet 95.000</t>
  </si>
  <si>
    <r>
      <t xml:space="preserve">Pääkirjaston rakentaminen/valtionosuus/rahoitusosuus </t>
    </r>
    <r>
      <rPr>
        <vertAlign val="superscript"/>
        <sz val="9"/>
        <rFont val="Arial"/>
        <family val="2"/>
      </rPr>
      <t>2)</t>
    </r>
  </si>
  <si>
    <t>siirretty vuodelta 2017 20.000, siirretty vuodelta 2016 260.496 + Aholanrinteen tontin myynti 126.550</t>
  </si>
  <si>
    <t>Myytävät kiinteistöt</t>
  </si>
  <si>
    <t>Vedetään nollille</t>
  </si>
  <si>
    <t>Teklaan vietävä, sitova taso. 105 500 hyvitys 40 000</t>
  </si>
  <si>
    <t>lisätty Vanhan kirjaston myynti 130.000, korjattu summa 20.11.18</t>
  </si>
  <si>
    <t>Narvan monitoimitalon maalaus</t>
  </si>
  <si>
    <t>Koulukeskuksen kunnostustarpeet</t>
  </si>
  <si>
    <t>Vanhan rakennuksen katon tiivistäminen ja pinnoittaminen</t>
  </si>
  <si>
    <t>vuonna 2021 peltikattojen maalaus, 1/3 alakoulu ja 2/3 yläkoulu</t>
  </si>
  <si>
    <t>Ylämäen koulun lämmin ulkovälinevarasto</t>
  </si>
  <si>
    <t>Teknisen toimiston (Narvan ent. terv.asema) vesikattojen uudistaminen</t>
  </si>
  <si>
    <t>Kunnanviraston saniteettitilojen uudistaminen</t>
  </si>
  <si>
    <t>Peiponpellon ilmanvaihto</t>
  </si>
  <si>
    <t>Kysy eurot Veliltä, lisätty käyttötalouteen</t>
  </si>
  <si>
    <t>Ylämäen alatalon kunnostus, keittiö ja pesutilat</t>
  </si>
  <si>
    <t>Tehdään yhden vuoden aikana</t>
  </si>
  <si>
    <t>Pesuhuoneen lattioiden/seinien korjaus</t>
  </si>
  <si>
    <t>Narvan tekninen toimisto, vesikatto</t>
  </si>
  <si>
    <t>Harri selvittää</t>
  </si>
  <si>
    <t>Rakennukset yhteensä</t>
  </si>
  <si>
    <t>Kiinteät rakenteet ja laitteet</t>
  </si>
  <si>
    <t>Vesihuollon paikallisautomaation uudistaminen</t>
  </si>
  <si>
    <t>Selvitä sampakoskelta</t>
  </si>
  <si>
    <t>ok, ei tarvetta välttämättä</t>
  </si>
  <si>
    <t>Vesihuollon paikallisautomaation laajentaminen/pumppaamot</t>
  </si>
  <si>
    <t>ok ei tarvetta välttämättä</t>
  </si>
  <si>
    <t>Ämmänhaudanmäki/kunnallistekniikka</t>
  </si>
  <si>
    <t>laajennusinvestointi</t>
  </si>
  <si>
    <t>Toteutuu, pidettävä työmaakokous</t>
  </si>
  <si>
    <t>lisätty 40.000 21.11.18</t>
  </si>
  <si>
    <t>Ämmänhaudanmäki/kaavatiet</t>
  </si>
  <si>
    <r>
      <t xml:space="preserve">Kunnan osuus Savelanmetsänhelmen kunnallistekniikasta </t>
    </r>
    <r>
      <rPr>
        <vertAlign val="superscript"/>
        <sz val="9"/>
        <rFont val="Arial"/>
        <family val="2"/>
      </rPr>
      <t>2)</t>
    </r>
  </si>
  <si>
    <t>rakentaminen alkaa 2022</t>
  </si>
  <si>
    <t>Toni arvioi tämän hinnan, Veli tarkentaa, MT18 lisätään 6.000</t>
  </si>
  <si>
    <t>Vesi- ja viemäröintiyhteys Kurjen tilalle</t>
  </si>
  <si>
    <t>myöhäistämisen mahdollisuuden selvittäminen (Veli)</t>
  </si>
  <si>
    <t>Selvitä onko sopimus taustalla?</t>
  </si>
  <si>
    <t>Mari tarkentaa, suunnittelu 2018, toteutus 2019-2020</t>
  </si>
  <si>
    <r>
      <t>Suomelantien asemakaavatien ja kunnallistekniikan rakentaminen (Rahoinen)</t>
    </r>
    <r>
      <rPr>
        <vertAlign val="superscript"/>
        <sz val="9"/>
        <rFont val="Arial"/>
        <family val="2"/>
      </rPr>
      <t xml:space="preserve"> 3)</t>
    </r>
  </si>
  <si>
    <t>rakentaminen alkaa vuonna 2025 Juttele Tuomaksen kanssa ja katso onko järkevää kantaa suunnitte rahaa mukana</t>
  </si>
  <si>
    <t>Muuta nimi ja korjaa summa (vain tien ja putkien suunnittelu)</t>
  </si>
  <si>
    <t>muutettu 15.000€ - 40.000€ 5.10.18</t>
  </si>
  <si>
    <t>Kalalahden Rimmintien asuinalue, tiet, kunnallistekniikka</t>
  </si>
  <si>
    <t>Jätetään pois/ siirretään</t>
  </si>
  <si>
    <r>
      <t>Kalalahden yritysalue kunnallistekniikka/tiet</t>
    </r>
    <r>
      <rPr>
        <vertAlign val="superscript"/>
        <sz val="9"/>
        <rFont val="Arial"/>
        <family val="2"/>
      </rPr>
      <t xml:space="preserve"> 4)</t>
    </r>
  </si>
  <si>
    <t>Tee tarkentava arvio</t>
  </si>
  <si>
    <t>rakentaminen 2019-2030 10.10.18 muutettu</t>
  </si>
  <si>
    <t>muuta nämä</t>
  </si>
  <si>
    <r>
      <t>Lammasniemen ja lähialueiden rakentaminen</t>
    </r>
    <r>
      <rPr>
        <vertAlign val="superscript"/>
        <sz val="9"/>
        <rFont val="Arial"/>
        <family val="2"/>
      </rPr>
      <t xml:space="preserve"> 5)</t>
    </r>
  </si>
  <si>
    <t>20 suunnittelu/tot. mahdollisesti 21--&gt; toteutus, muuta rahat.</t>
  </si>
  <si>
    <t>muutettu 10.10.18</t>
  </si>
  <si>
    <t>Palvelukeskusalueen kunnallistekniikka</t>
  </si>
  <si>
    <t>Tarkista kustannusarvio --&gt; Ei jakoa, tehdään kerralla.</t>
  </si>
  <si>
    <t>Muut/kunnallistekniikka</t>
  </si>
  <si>
    <t>Kuusistontien infra</t>
  </si>
  <si>
    <t>Selvitä mikä tää on, onko tontteja myynnissä</t>
  </si>
  <si>
    <r>
      <t>Järvenrannan maankäyttösopimukset (mukaan lukien Jyrkkätie)</t>
    </r>
    <r>
      <rPr>
        <vertAlign val="superscript"/>
        <sz val="9"/>
        <rFont val="Arial"/>
        <family val="2"/>
      </rPr>
      <t xml:space="preserve"> 6)</t>
    </r>
  </si>
  <si>
    <t>Selvitetään mikä tämä on</t>
  </si>
  <si>
    <t>korjattu 5.10.18</t>
  </si>
  <si>
    <t>Kiisken ja Kalsinalueen kunnallistekniikka/tiet</t>
  </si>
  <si>
    <t>Mikä tämä on? selvitä</t>
  </si>
  <si>
    <t>tulee maankäyttökorvaustuloa 45.000€ vuonna 2019</t>
  </si>
  <si>
    <t>Veikkolanrinteen kunnallistekniikka/tiet</t>
  </si>
  <si>
    <t>Tarkista riittääkö rahat?</t>
  </si>
  <si>
    <t>Jätevesipumppaamot</t>
  </si>
  <si>
    <t>selvitä mitä sisältää?</t>
  </si>
  <si>
    <t>Vesihuollon mittarit</t>
  </si>
  <si>
    <t>lisätty 10.10.18</t>
  </si>
  <si>
    <t>Huhtatien päällystäminen</t>
  </si>
  <si>
    <t>Kirjaston taka oleva tie ja valaistus, asfaltoidaan kun sijainti selvä</t>
  </si>
  <si>
    <t>Tievalaistus</t>
  </si>
  <si>
    <t>Katuvalojen muuttaminen ledeiksi?</t>
  </si>
  <si>
    <t>Pappilan pellon pohjan tasaaminen</t>
  </si>
  <si>
    <t>selvitä mikä tämä on</t>
  </si>
  <si>
    <t>Anttilanvuoren pururadan kunnostus</t>
  </si>
  <si>
    <t>Kaavateiden päällystäminen</t>
  </si>
  <si>
    <t>tehtävä vuosittainen suunnitelma</t>
  </si>
  <si>
    <t>Kirjaston pihan päällystäminen, kivetys ja asfaltti</t>
  </si>
  <si>
    <t>menossa.</t>
  </si>
  <si>
    <t>Narvan uimarannan kunnostaminen</t>
  </si>
  <si>
    <t>pois 2019</t>
  </si>
  <si>
    <t>mitä tehdään?</t>
  </si>
  <si>
    <t>talvella --&gt; vuodelle 2020</t>
  </si>
  <si>
    <t>Lammasniemen vierasvenelaituri</t>
  </si>
  <si>
    <t>muutettu 2019</t>
  </si>
  <si>
    <t>menossa</t>
  </si>
  <si>
    <t>Laituria vaille, 19 tehty, 20 seuraava</t>
  </si>
  <si>
    <r>
      <t xml:space="preserve">Ulkoalueiden perustaminen </t>
    </r>
    <r>
      <rPr>
        <vertAlign val="superscript"/>
        <sz val="9"/>
        <rFont val="Arial"/>
        <family val="2"/>
      </rPr>
      <t>7)</t>
    </r>
  </si>
  <si>
    <t>Vatajan kaatopaikan laajentaminen</t>
  </si>
  <si>
    <t>Maankaatopaikka, vanha lupa tullut täyteen. Jatkolupa saatava. Lempäälästä apuja (Sassi Sari)</t>
  </si>
  <si>
    <t>Kiinteät rakenteet ja laitteet yhteensä</t>
  </si>
  <si>
    <t>Koneet ja kalusto</t>
  </si>
  <si>
    <t>Koneet ja kalusto yhteensä</t>
  </si>
  <si>
    <t>Osakkeet</t>
  </si>
  <si>
    <t>Keskuspuhdistamo Oy:n SVOP</t>
  </si>
  <si>
    <t>Osakkeet yhteensä</t>
  </si>
  <si>
    <t>Investoinnit yhteensä, netto</t>
  </si>
  <si>
    <t>¹) Mahdolliset kunnalle koituvat investointi- ja käyttökustannukset realisoituvat myöhemmin.</t>
  </si>
  <si>
    <r>
      <rPr>
        <vertAlign val="superscript"/>
        <sz val="9"/>
        <rFont val="Arial"/>
        <family val="2"/>
      </rPr>
      <t>2)</t>
    </r>
    <r>
      <rPr>
        <sz val="9"/>
        <rFont val="Arial"/>
        <family val="2"/>
      </rPr>
      <t xml:space="preserve"> Kunnalla on maankäyttösopimukseen liittyvä velvoite maksaa 50 % tien sekä vesi- ja viemärilinjan rakentamisen kustannuksista, tässä ilmoitettu koko summa (620.000€), maankäyttökorvaustuloksi kirjataan käyttötaloudessa v. 2019 300.000€.</t>
    </r>
  </si>
  <si>
    <r>
      <rPr>
        <vertAlign val="superscript"/>
        <sz val="9"/>
        <rFont val="Arial"/>
        <family val="2"/>
      </rPr>
      <t>3)</t>
    </r>
    <r>
      <rPr>
        <sz val="9"/>
        <rFont val="Arial"/>
        <family val="2"/>
      </rPr>
      <t xml:space="preserve"> Kunnalla on maankäyttösopimukseen liittyvä velvoite rakentaa asemakaavatie, joka yhdistää Savelanmetsänhelmen ja Suomelan kaava-alueet. Alueen tekniset suunnitelmat ovat vielä tekemättä.</t>
    </r>
  </si>
  <si>
    <r>
      <rPr>
        <vertAlign val="superscript"/>
        <sz val="9"/>
        <rFont val="Arial"/>
        <family val="2"/>
      </rPr>
      <t>4)</t>
    </r>
    <r>
      <rPr>
        <sz val="9"/>
        <rFont val="Arial"/>
        <family val="2"/>
      </rPr>
      <t xml:space="preserve"> Kalalahden teollisuusalueen kaavoitus vireillä, v. 2020 varauduttu alueen infran rakentamiseen. Alueen tekniset suunnitelmat ovat vielä tekemättä.</t>
    </r>
  </si>
  <si>
    <r>
      <rPr>
        <vertAlign val="superscript"/>
        <sz val="9"/>
        <rFont val="Arial"/>
        <family val="2"/>
      </rPr>
      <t>5)</t>
    </r>
    <r>
      <rPr>
        <sz val="9"/>
        <rFont val="Arial"/>
        <family val="2"/>
      </rPr>
      <t xml:space="preserve"> Asemakaava vireillä.</t>
    </r>
  </si>
  <si>
    <r>
      <rPr>
        <vertAlign val="superscript"/>
        <sz val="9"/>
        <rFont val="Arial"/>
        <family val="2"/>
      </rPr>
      <t>6)</t>
    </r>
    <r>
      <rPr>
        <sz val="9"/>
        <rFont val="Arial"/>
        <family val="2"/>
      </rPr>
      <t xml:space="preserve"> Kunnalla on maankäyttösopimukseen liittyvä velvoite rakentaa alueelle kaavatiet ja kunnallistekniikka. Kunta saa maankäyttösopimuksen mukaan korvauksena yhteensä 330.600 euroa vuonna 2021. Rakentamisen ajankohta ei ole vielä tiedossa.</t>
    </r>
  </si>
  <si>
    <r>
      <rPr>
        <vertAlign val="superscript"/>
        <sz val="9"/>
        <rFont val="Arial"/>
        <family val="2"/>
      </rPr>
      <t>7)</t>
    </r>
    <r>
      <rPr>
        <sz val="9"/>
        <rFont val="Arial"/>
        <family val="2"/>
      </rPr>
      <t xml:space="preserve"> Kirjaston, kunnanviraston, Kurkituvanniityn piha-alueet ja maavallien istutukset</t>
    </r>
  </si>
  <si>
    <t>INVESTOINNIT</t>
  </si>
  <si>
    <t>eur</t>
  </si>
  <si>
    <t>tot eur</t>
  </si>
  <si>
    <t>Poistojen lisäys</t>
  </si>
  <si>
    <t>Projekti-koodi</t>
  </si>
  <si>
    <t>Kustannuspaikka (investointi 8000-sarja)</t>
  </si>
  <si>
    <t>Kustannuspaikka (käyttötalous 7000-sarja)</t>
  </si>
  <si>
    <t>Kokonais-kustannusarvio</t>
  </si>
  <si>
    <t>TA + MTA 2019</t>
  </si>
  <si>
    <t>TP 2019</t>
  </si>
  <si>
    <t>TA + MTA 2020</t>
  </si>
  <si>
    <t>TP 2020</t>
  </si>
  <si>
    <t>TA + MTA 2021</t>
  </si>
  <si>
    <t>TP 2021</t>
  </si>
  <si>
    <t>TA 2022</t>
  </si>
  <si>
    <t>TA muutos</t>
  </si>
  <si>
    <t>TA + MTA 2022</t>
  </si>
  <si>
    <t>TOT
1-6/2022</t>
  </si>
  <si>
    <t>Tot. %</t>
  </si>
  <si>
    <t>Arvioitu alkamis-aika</t>
  </si>
  <si>
    <t>Arvioitu valmistumis-aika</t>
  </si>
  <si>
    <t>TS 2023</t>
  </si>
  <si>
    <t>TS 2024</t>
  </si>
  <si>
    <t>TPE 2022</t>
  </si>
  <si>
    <t>Investoinnit</t>
  </si>
  <si>
    <t>TP Enn./MTA 2022</t>
  </si>
  <si>
    <t>Valmistunut 2020, on jo järjestelmässä?</t>
  </si>
  <si>
    <t>Lempäälän jätevedenpuhdistamon saneeraukseen varautuminen, Vesilahden osuus</t>
  </si>
  <si>
    <t>Ei poistoja</t>
  </si>
  <si>
    <t>Monetra Pirkanmaa Oy</t>
  </si>
  <si>
    <t>Tavase</t>
  </si>
  <si>
    <t>Sarastia Oy</t>
  </si>
  <si>
    <t>Metsäliitto Osuuskunta</t>
  </si>
  <si>
    <t>Muut osakkeet ja osuudet</t>
  </si>
  <si>
    <t>Maa-alueiden hankinnat</t>
  </si>
  <si>
    <t>Maa-alueiden myynnit (sis. myyntivoiton)</t>
  </si>
  <si>
    <t>Maa-alueet (tasearvo)</t>
  </si>
  <si>
    <t>Kiinteistöhankkeet</t>
  </si>
  <si>
    <t>Toteuma-aste</t>
  </si>
  <si>
    <t>Narvan koulu</t>
  </si>
  <si>
    <t>muut rakennukset</t>
  </si>
  <si>
    <t>31.12.2022</t>
  </si>
  <si>
    <t>31.12.2023</t>
  </si>
  <si>
    <t xml:space="preserve">Terveysasema </t>
  </si>
  <si>
    <t>Vesilahden kirjasto Lähde</t>
  </si>
  <si>
    <t>03/2022</t>
  </si>
  <si>
    <t>Yhtenäiskoulu</t>
  </si>
  <si>
    <t>Ylämäen koulu</t>
  </si>
  <si>
    <t>31.12.2013</t>
  </si>
  <si>
    <t>Satumetsän päiväkoti</t>
  </si>
  <si>
    <t>Palvelutalo Vesauskoti</t>
  </si>
  <si>
    <t>Sitovuustaso</t>
  </si>
  <si>
    <t>Peiponpellon päiväkoti</t>
  </si>
  <si>
    <t>Investointihanke</t>
  </si>
  <si>
    <t>TA 2022
sitovat eurot</t>
  </si>
  <si>
    <t>Valokuituliittymät</t>
  </si>
  <si>
    <t>75%=8320, 25% 8310</t>
  </si>
  <si>
    <t>25% 7241, 7211, 7216, 7213</t>
  </si>
  <si>
    <t>Kaakilanmutka yrityshalli</t>
  </si>
  <si>
    <t>Torin rakennukset</t>
  </si>
  <si>
    <t>Jatkuu 23</t>
  </si>
  <si>
    <t>Maa- ja vesialueet, ostot</t>
  </si>
  <si>
    <t>Ylämäen monitoimitalon automaatio</t>
  </si>
  <si>
    <t>Maa-alueet, myyntihinnat</t>
  </si>
  <si>
    <t>Lammasniemen kunnostus</t>
  </si>
  <si>
    <t>Kiinteistöhankkeet yhteensä</t>
  </si>
  <si>
    <t>Kaavateiden rakentamiskohteet</t>
  </si>
  <si>
    <t>Puistot, leikkikentät ja yleiset alueet</t>
  </si>
  <si>
    <t>Kaavateiden rakentamiskohteet (15% menojäännös)</t>
  </si>
  <si>
    <t>Vesi- ja viemärilaitos</t>
  </si>
  <si>
    <t>Heinätien jatko</t>
  </si>
  <si>
    <t>Järvenrannan maankäyttösopimukset (mukaan lukien Jyrkkätie)</t>
  </si>
  <si>
    <t>Yhteensä</t>
  </si>
  <si>
    <t>Kaakilanmutkan yritystontit</t>
  </si>
  <si>
    <t>06/2022</t>
  </si>
  <si>
    <t>Kalalahden yritysalue kunnallistekniikka/tiet</t>
  </si>
  <si>
    <t>Kunnan osuus Savelanmetsänhelmen kunnallistekniikasta</t>
  </si>
  <si>
    <t>Suomelantien asemakaavatien ja rakentaminen (Rahoinen)</t>
  </si>
  <si>
    <t>Metsämantereen alue</t>
  </si>
  <si>
    <t>31.7.2022</t>
  </si>
  <si>
    <t>Petäjärinteen ja kielonrinteen tien korjaus + alueen siistiminen</t>
  </si>
  <si>
    <t>Peltotie - Arvintie kevyenliikenteen väylä</t>
  </si>
  <si>
    <t>Tie kirjastolle</t>
  </si>
  <si>
    <t xml:space="preserve">Kevyenliikenteen väylän suunnittelu Lempäälään </t>
  </si>
  <si>
    <t>02/2022</t>
  </si>
  <si>
    <t>Suomelan alueen katuvalaistus ja asfaltointi</t>
  </si>
  <si>
    <t>1.7.2022</t>
  </si>
  <si>
    <t>Kaavatiet yhteensä</t>
  </si>
  <si>
    <t>Puistot, leikkikentät ja muut yleiset alueet</t>
  </si>
  <si>
    <t>maa vesial peruspar</t>
  </si>
  <si>
    <t>Harjulan lähivirkistysalueen kunnostus</t>
  </si>
  <si>
    <t>Palvelukeskusalueen tori ja puisto</t>
  </si>
  <si>
    <t>Alkanut 2021</t>
  </si>
  <si>
    <t>Ulkoalueiden perustaminen</t>
  </si>
  <si>
    <t>Leikkivälineet</t>
  </si>
  <si>
    <t>Narvan venelaituri</t>
  </si>
  <si>
    <t>Kaakilanmutkan maavarasto</t>
  </si>
  <si>
    <t>Puistot, leikkikentät ja muut yleiset alueet yhteensä</t>
  </si>
  <si>
    <t>Järvenrannan maankäyttösopimukset (mukaan lukien Jyrkkätie, vesi- ja viemäri)</t>
  </si>
  <si>
    <t>04/2022</t>
  </si>
  <si>
    <t>50% 7510, 7520</t>
  </si>
  <si>
    <t>Kalalahden yritysalue kunnallistekniikka (vesi ja viemäri)</t>
  </si>
  <si>
    <t>Karjaisen vesihuoltolinjojen rakentaminen</t>
  </si>
  <si>
    <t>Kiisken ja Kalsinalueen kunnallistekniikka (vesi ja viemäri)</t>
  </si>
  <si>
    <t>Kunnan osuus Savelanmetsähelmen kunnallistekniikasta (Vesi- ja viemäri)</t>
  </si>
  <si>
    <t>Kuusistontien kunnallistekniikka (vesi ja viemäri)</t>
  </si>
  <si>
    <t>Lammasniemen kunnallistekniikka (vesi ja viemäri)</t>
  </si>
  <si>
    <t>Viemäriverkoston saneeraus</t>
  </si>
  <si>
    <t>31.12.2024</t>
  </si>
  <si>
    <t>Vesijohtoverkoston saneeraus</t>
  </si>
  <si>
    <t>Palvelukeskusalueen kunnallistekniikka (vesi ja viemäri)</t>
  </si>
  <si>
    <t>Siirtoviemäri</t>
  </si>
  <si>
    <t>Alkanut 2018</t>
  </si>
  <si>
    <t>Suomelantien kunnallistekniikan rakentaminen</t>
  </si>
  <si>
    <t>Veikkolanrinteen kunnallistekniikka (vesi ja viemäri)</t>
  </si>
  <si>
    <t>Ämmänhaudanmäki/kunnallistekniikka (vesi- ja viemäri)</t>
  </si>
  <si>
    <t>Suomelan alueen vesihuolto</t>
  </si>
  <si>
    <t>Vesi- ja viemärilaitos yhteensä</t>
  </si>
  <si>
    <t>Mönkijä</t>
  </si>
  <si>
    <t>Investointikulut</t>
  </si>
  <si>
    <t>Investointituotot</t>
  </si>
  <si>
    <t>TP 2022 Enn.</t>
  </si>
  <si>
    <t>Suomelan alueen katuvalaistus</t>
  </si>
  <si>
    <t>Suomelan tie (Ketunkalliot / Uittee)</t>
  </si>
  <si>
    <t>Rämsöön uimarannan kunnostaminen</t>
  </si>
  <si>
    <t>Kiinteistötraktori / pienkuormaaja</t>
  </si>
  <si>
    <t>Projektikoodi</t>
  </si>
  <si>
    <t>TOT 1-1/2022</t>
  </si>
  <si>
    <t>Arvioitu alkamisaika</t>
  </si>
  <si>
    <t>Arvioitu valmistumisaika</t>
  </si>
  <si>
    <t>Maa-alueet (myyntihinnat, sis. myyntivoiton)</t>
  </si>
  <si>
    <t>** sis. myyntivoitot</t>
  </si>
  <si>
    <t>Lammasniemen ja lähialueiden rakentaminen</t>
  </si>
  <si>
    <t>Vesihuoltolaitos</t>
  </si>
  <si>
    <t>Vesihuoltolaitos yhteensä</t>
  </si>
  <si>
    <t>Sitovat eurot</t>
  </si>
  <si>
    <t>Maa-alueet (myyntihinnat, sis. myyntivoiton ja tasearvon)</t>
  </si>
  <si>
    <t>Siirtyy vuodelle 2023 joko Taseen varauksiin tai vuoden 2023 TA-kirjan investointiesityksiin!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</si>
</sst>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0.0\ %"/>
  </numFmts>
  <fonts count="20" x14ac:knownFonts="1">
    <font>
      <sz val="10"/>
      <name val="Arial"/>
    </font>
    <font>
      <sz val="8"/>
      <name val="Arial"/>
      <family val="2"/>
    </font>
    <font>
      <b/>
      <sz val="9"/>
      <color indexed="1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trike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6277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</cellStyleXfs>
  <cellXfs count="428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wrapText="1"/>
    </xf>
    <xf numFmtId="0" fontId="4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3" fontId="3" fillId="0" borderId="0" xfId="0" applyNumberFormat="1" applyFont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/>
    <xf numFmtId="3" fontId="4" fillId="0" borderId="1" xfId="0" applyNumberFormat="1" applyFont="1" applyBorder="1" applyAlignment="1">
      <alignment horizontal="right" wrapText="1"/>
    </xf>
    <xf numFmtId="3" fontId="3" fillId="0" borderId="3" xfId="0" applyNumberFormat="1" applyFont="1" applyBorder="1" applyAlignment="1">
      <alignment horizontal="right" wrapText="1"/>
    </xf>
    <xf numFmtId="3" fontId="4" fillId="0" borderId="1" xfId="0" applyNumberFormat="1" applyFont="1" applyBorder="1" applyAlignment="1">
      <alignment wrapText="1"/>
    </xf>
    <xf numFmtId="3" fontId="4" fillId="0" borderId="0" xfId="0" applyNumberFormat="1" applyFont="1" applyAlignment="1">
      <alignment wrapText="1"/>
    </xf>
    <xf numFmtId="3" fontId="3" fillId="0" borderId="0" xfId="0" applyNumberFormat="1" applyFont="1" applyAlignment="1">
      <alignment wrapText="1"/>
    </xf>
    <xf numFmtId="3" fontId="1" fillId="0" borderId="0" xfId="0" applyNumberFormat="1" applyFont="1"/>
    <xf numFmtId="3" fontId="3" fillId="0" borderId="0" xfId="0" applyNumberFormat="1" applyFont="1"/>
    <xf numFmtId="3" fontId="3" fillId="2" borderId="3" xfId="0" applyNumberFormat="1" applyFont="1" applyFill="1" applyBorder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3" fontId="4" fillId="0" borderId="0" xfId="0" applyNumberFormat="1" applyFont="1" applyAlignment="1">
      <alignment horizontal="right"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3" borderId="0" xfId="0" applyFont="1" applyFill="1"/>
    <xf numFmtId="0" fontId="4" fillId="3" borderId="0" xfId="0" applyFont="1" applyFill="1"/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3" fontId="3" fillId="4" borderId="0" xfId="0" applyNumberFormat="1" applyFont="1" applyFill="1" applyAlignment="1">
      <alignment horizontal="right" wrapText="1"/>
    </xf>
    <xf numFmtId="3" fontId="4" fillId="4" borderId="0" xfId="0" applyNumberFormat="1" applyFont="1" applyFill="1" applyAlignment="1">
      <alignment horizontal="right" wrapText="1"/>
    </xf>
    <xf numFmtId="0" fontId="4" fillId="2" borderId="3" xfId="0" applyFont="1" applyFill="1" applyBorder="1" applyAlignment="1">
      <alignment horizontal="right" wrapText="1"/>
    </xf>
    <xf numFmtId="0" fontId="3" fillId="2" borderId="0" xfId="0" applyFont="1" applyFill="1"/>
    <xf numFmtId="3" fontId="3" fillId="0" borderId="3" xfId="0" applyNumberFormat="1" applyFont="1" applyBorder="1" applyAlignment="1">
      <alignment wrapText="1"/>
    </xf>
    <xf numFmtId="3" fontId="3" fillId="2" borderId="0" xfId="0" applyNumberFormat="1" applyFont="1" applyFill="1" applyAlignment="1">
      <alignment horizontal="right" wrapText="1"/>
    </xf>
    <xf numFmtId="3" fontId="4" fillId="2" borderId="0" xfId="0" applyNumberFormat="1" applyFont="1" applyFill="1" applyAlignment="1">
      <alignment horizontal="right" wrapText="1"/>
    </xf>
    <xf numFmtId="0" fontId="3" fillId="5" borderId="0" xfId="0" applyFont="1" applyFill="1"/>
    <xf numFmtId="0" fontId="3" fillId="6" borderId="0" xfId="0" applyFont="1" applyFill="1"/>
    <xf numFmtId="0" fontId="3" fillId="7" borderId="0" xfId="0" applyFont="1" applyFill="1"/>
    <xf numFmtId="3" fontId="3" fillId="5" borderId="3" xfId="0" applyNumberFormat="1" applyFont="1" applyFill="1" applyBorder="1" applyAlignment="1">
      <alignment horizontal="right" wrapText="1"/>
    </xf>
    <xf numFmtId="3" fontId="3" fillId="5" borderId="1" xfId="0" applyNumberFormat="1" applyFont="1" applyFill="1" applyBorder="1" applyAlignment="1">
      <alignment horizontal="right" wrapText="1"/>
    </xf>
    <xf numFmtId="0" fontId="3" fillId="8" borderId="0" xfId="0" applyFont="1" applyFill="1"/>
    <xf numFmtId="3" fontId="3" fillId="8" borderId="1" xfId="0" applyNumberFormat="1" applyFont="1" applyFill="1" applyBorder="1" applyAlignment="1">
      <alignment horizontal="right" wrapText="1"/>
    </xf>
    <xf numFmtId="3" fontId="3" fillId="6" borderId="1" xfId="0" applyNumberFormat="1" applyFont="1" applyFill="1" applyBorder="1" applyAlignment="1">
      <alignment horizontal="right" wrapText="1"/>
    </xf>
    <xf numFmtId="0" fontId="10" fillId="6" borderId="0" xfId="0" applyFont="1" applyFill="1"/>
    <xf numFmtId="0" fontId="3" fillId="6" borderId="3" xfId="0" applyFont="1" applyFill="1" applyBorder="1"/>
    <xf numFmtId="0" fontId="3" fillId="7" borderId="2" xfId="0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3" fontId="3" fillId="6" borderId="0" xfId="0" applyNumberFormat="1" applyFont="1" applyFill="1" applyAlignment="1">
      <alignment horizontal="right" wrapText="1"/>
    </xf>
    <xf numFmtId="0" fontId="3" fillId="5" borderId="3" xfId="0" applyFont="1" applyFill="1" applyBorder="1"/>
    <xf numFmtId="0" fontId="3" fillId="5" borderId="3" xfId="0" applyFont="1" applyFill="1" applyBorder="1" applyAlignment="1">
      <alignment wrapText="1"/>
    </xf>
    <xf numFmtId="3" fontId="3" fillId="5" borderId="3" xfId="0" applyNumberFormat="1" applyFont="1" applyFill="1" applyBorder="1" applyAlignment="1">
      <alignment wrapText="1"/>
    </xf>
    <xf numFmtId="0" fontId="10" fillId="5" borderId="0" xfId="0" applyFont="1" applyFill="1"/>
    <xf numFmtId="0" fontId="3" fillId="6" borderId="3" xfId="0" applyFont="1" applyFill="1" applyBorder="1" applyAlignment="1">
      <alignment wrapText="1"/>
    </xf>
    <xf numFmtId="3" fontId="3" fillId="6" borderId="3" xfId="0" applyNumberFormat="1" applyFont="1" applyFill="1" applyBorder="1" applyAlignment="1">
      <alignment wrapText="1"/>
    </xf>
    <xf numFmtId="3" fontId="3" fillId="6" borderId="3" xfId="0" applyNumberFormat="1" applyFont="1" applyFill="1" applyBorder="1" applyAlignment="1">
      <alignment horizontal="right" wrapText="1"/>
    </xf>
    <xf numFmtId="0" fontId="3" fillId="8" borderId="2" xfId="0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3" fontId="3" fillId="8" borderId="1" xfId="0" applyNumberFormat="1" applyFont="1" applyFill="1" applyBorder="1" applyAlignment="1">
      <alignment wrapText="1"/>
    </xf>
    <xf numFmtId="3" fontId="3" fillId="6" borderId="1" xfId="0" applyNumberFormat="1" applyFont="1" applyFill="1" applyBorder="1" applyAlignment="1">
      <alignment wrapText="1"/>
    </xf>
    <xf numFmtId="0" fontId="10" fillId="8" borderId="0" xfId="0" applyFont="1" applyFill="1"/>
    <xf numFmtId="0" fontId="11" fillId="8" borderId="0" xfId="0" applyFont="1" applyFill="1"/>
    <xf numFmtId="0" fontId="4" fillId="2" borderId="0" xfId="0" applyFont="1" applyFill="1"/>
    <xf numFmtId="0" fontId="9" fillId="0" borderId="0" xfId="0" applyFont="1"/>
    <xf numFmtId="0" fontId="6" fillId="0" borderId="0" xfId="0" applyFont="1"/>
    <xf numFmtId="0" fontId="3" fillId="9" borderId="0" xfId="0" applyFont="1" applyFill="1"/>
    <xf numFmtId="0" fontId="3" fillId="4" borderId="0" xfId="0" applyFont="1" applyFill="1"/>
    <xf numFmtId="3" fontId="3" fillId="4" borderId="3" xfId="0" applyNumberFormat="1" applyFont="1" applyFill="1" applyBorder="1" applyAlignment="1">
      <alignment horizontal="right" wrapText="1"/>
    </xf>
    <xf numFmtId="0" fontId="10" fillId="0" borderId="0" xfId="0" applyFont="1"/>
    <xf numFmtId="0" fontId="4" fillId="9" borderId="5" xfId="0" applyFont="1" applyFill="1" applyBorder="1" applyAlignment="1">
      <alignment horizontal="right" wrapText="1"/>
    </xf>
    <xf numFmtId="0" fontId="4" fillId="0" borderId="5" xfId="0" applyFont="1" applyBorder="1" applyAlignment="1">
      <alignment wrapText="1"/>
    </xf>
    <xf numFmtId="3" fontId="4" fillId="4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horizontal="right" wrapText="1"/>
    </xf>
    <xf numFmtId="0" fontId="4" fillId="0" borderId="5" xfId="0" applyFont="1" applyBorder="1" applyAlignment="1">
      <alignment horizontal="right" wrapText="1"/>
    </xf>
    <xf numFmtId="0" fontId="11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3" fillId="0" borderId="6" xfId="0" applyFont="1" applyBorder="1"/>
    <xf numFmtId="0" fontId="6" fillId="9" borderId="5" xfId="0" applyFont="1" applyFill="1" applyBorder="1" applyAlignment="1">
      <alignment horizontal="right" wrapText="1"/>
    </xf>
    <xf numFmtId="3" fontId="6" fillId="0" borderId="0" xfId="0" applyNumberFormat="1" applyFont="1" applyAlignment="1">
      <alignment horizontal="right" wrapText="1"/>
    </xf>
    <xf numFmtId="3" fontId="9" fillId="9" borderId="4" xfId="0" applyNumberFormat="1" applyFont="1" applyFill="1" applyBorder="1"/>
    <xf numFmtId="3" fontId="11" fillId="0" borderId="0" xfId="0" applyNumberFormat="1" applyFont="1" applyAlignment="1">
      <alignment horizontal="right" wrapText="1"/>
    </xf>
    <xf numFmtId="3" fontId="10" fillId="0" borderId="0" xfId="0" applyNumberFormat="1" applyFont="1"/>
    <xf numFmtId="3" fontId="9" fillId="0" borderId="5" xfId="0" applyNumberFormat="1" applyFont="1" applyBorder="1" applyAlignment="1">
      <alignment horizontal="right" wrapText="1"/>
    </xf>
    <xf numFmtId="0" fontId="3" fillId="0" borderId="5" xfId="0" applyFont="1" applyBorder="1" applyAlignment="1">
      <alignment horizontal="right" wrapText="1"/>
    </xf>
    <xf numFmtId="0" fontId="3" fillId="0" borderId="0" xfId="0" applyFont="1" applyAlignment="1">
      <alignment horizontal="right" wrapText="1"/>
    </xf>
    <xf numFmtId="3" fontId="9" fillId="0" borderId="1" xfId="0" applyNumberFormat="1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0" fontId="9" fillId="4" borderId="0" xfId="0" applyFont="1" applyFill="1"/>
    <xf numFmtId="0" fontId="14" fillId="10" borderId="0" xfId="0" applyFont="1" applyFill="1"/>
    <xf numFmtId="0" fontId="3" fillId="0" borderId="0" xfId="0" applyFont="1" applyAlignment="1">
      <alignment horizontal="right"/>
    </xf>
    <xf numFmtId="0" fontId="4" fillId="9" borderId="5" xfId="0" applyFont="1" applyFill="1" applyBorder="1" applyAlignment="1">
      <alignment wrapText="1"/>
    </xf>
    <xf numFmtId="0" fontId="17" fillId="0" borderId="0" xfId="0" applyFont="1"/>
    <xf numFmtId="0" fontId="11" fillId="0" borderId="0" xfId="0" applyFont="1"/>
    <xf numFmtId="3" fontId="9" fillId="0" borderId="0" xfId="0" applyNumberFormat="1" applyFont="1"/>
    <xf numFmtId="0" fontId="6" fillId="13" borderId="0" xfId="0" applyFont="1" applyFill="1"/>
    <xf numFmtId="3" fontId="6" fillId="13" borderId="0" xfId="0" applyNumberFormat="1" applyFont="1" applyFill="1"/>
    <xf numFmtId="0" fontId="6" fillId="11" borderId="0" xfId="0" applyFont="1" applyFill="1"/>
    <xf numFmtId="3" fontId="6" fillId="11" borderId="0" xfId="0" applyNumberFormat="1" applyFont="1" applyFill="1"/>
    <xf numFmtId="0" fontId="6" fillId="3" borderId="0" xfId="0" applyFont="1" applyFill="1"/>
    <xf numFmtId="3" fontId="6" fillId="3" borderId="0" xfId="0" applyNumberFormat="1" applyFont="1" applyFill="1"/>
    <xf numFmtId="3" fontId="11" fillId="0" borderId="0" xfId="0" applyNumberFormat="1" applyFont="1" applyAlignment="1">
      <alignment wrapText="1"/>
    </xf>
    <xf numFmtId="3" fontId="9" fillId="9" borderId="0" xfId="0" applyNumberFormat="1" applyFont="1" applyFill="1"/>
    <xf numFmtId="3" fontId="9" fillId="0" borderId="0" xfId="0" applyNumberFormat="1" applyFont="1" applyAlignment="1">
      <alignment horizontal="right" wrapText="1"/>
    </xf>
    <xf numFmtId="0" fontId="9" fillId="0" borderId="5" xfId="0" applyFont="1" applyBorder="1" applyAlignment="1">
      <alignment horizontal="right" wrapText="1"/>
    </xf>
    <xf numFmtId="0" fontId="9" fillId="9" borderId="0" xfId="0" applyFont="1" applyFill="1"/>
    <xf numFmtId="0" fontId="9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10" fillId="2" borderId="0" xfId="0" applyFont="1" applyFill="1"/>
    <xf numFmtId="3" fontId="17" fillId="0" borderId="0" xfId="0" applyNumberFormat="1" applyFont="1"/>
    <xf numFmtId="0" fontId="4" fillId="0" borderId="7" xfId="0" applyFont="1" applyBorder="1" applyAlignment="1">
      <alignment wrapText="1"/>
    </xf>
    <xf numFmtId="0" fontId="4" fillId="9" borderId="7" xfId="0" applyFont="1" applyFill="1" applyBorder="1" applyAlignment="1">
      <alignment wrapText="1"/>
    </xf>
    <xf numFmtId="3" fontId="9" fillId="4" borderId="3" xfId="0" applyNumberFormat="1" applyFont="1" applyFill="1" applyBorder="1" applyAlignment="1">
      <alignment horizontal="right" wrapText="1"/>
    </xf>
    <xf numFmtId="0" fontId="17" fillId="0" borderId="0" xfId="0" applyFont="1" applyAlignment="1">
      <alignment horizontal="right"/>
    </xf>
    <xf numFmtId="0" fontId="12" fillId="10" borderId="0" xfId="0" applyFont="1" applyFill="1"/>
    <xf numFmtId="0" fontId="12" fillId="10" borderId="0" xfId="0" applyFont="1" applyFill="1" applyAlignment="1">
      <alignment horizontal="center" wrapText="1"/>
    </xf>
    <xf numFmtId="164" fontId="17" fillId="0" borderId="0" xfId="2" applyNumberFormat="1" applyFont="1"/>
    <xf numFmtId="49" fontId="4" fillId="0" borderId="0" xfId="0" applyNumberFormat="1" applyFont="1" applyAlignment="1">
      <alignment horizontal="right" wrapText="1"/>
    </xf>
    <xf numFmtId="49" fontId="3" fillId="0" borderId="0" xfId="0" applyNumberFormat="1" applyFont="1"/>
    <xf numFmtId="0" fontId="3" fillId="0" borderId="8" xfId="0" applyFont="1" applyBorder="1" applyAlignment="1">
      <alignment wrapText="1"/>
    </xf>
    <xf numFmtId="0" fontId="14" fillId="0" borderId="0" xfId="0" applyFont="1"/>
    <xf numFmtId="0" fontId="18" fillId="0" borderId="0" xfId="0" applyFont="1"/>
    <xf numFmtId="3" fontId="17" fillId="4" borderId="3" xfId="0" applyNumberFormat="1" applyFont="1" applyFill="1" applyBorder="1" applyAlignment="1">
      <alignment horizontal="right" wrapText="1"/>
    </xf>
    <xf numFmtId="3" fontId="17" fillId="0" borderId="1" xfId="0" applyNumberFormat="1" applyFont="1" applyBorder="1" applyAlignment="1">
      <alignment horizontal="right" wrapText="1"/>
    </xf>
    <xf numFmtId="3" fontId="18" fillId="0" borderId="0" xfId="0" applyNumberFormat="1" applyFont="1" applyAlignment="1">
      <alignment horizontal="right" wrapText="1"/>
    </xf>
    <xf numFmtId="49" fontId="9" fillId="0" borderId="0" xfId="0" applyNumberFormat="1" applyFont="1" applyAlignment="1">
      <alignment horizontal="center" wrapText="1"/>
    </xf>
    <xf numFmtId="164" fontId="6" fillId="11" borderId="0" xfId="2" applyNumberFormat="1" applyFont="1" applyFill="1"/>
    <xf numFmtId="164" fontId="9" fillId="0" borderId="0" xfId="2" applyNumberFormat="1" applyFont="1"/>
    <xf numFmtId="0" fontId="3" fillId="11" borderId="0" xfId="0" applyFont="1" applyFill="1"/>
    <xf numFmtId="3" fontId="9" fillId="12" borderId="0" xfId="0" applyNumberFormat="1" applyFont="1" applyFill="1"/>
    <xf numFmtId="0" fontId="9" fillId="12" borderId="0" xfId="0" applyFont="1" applyFill="1"/>
    <xf numFmtId="0" fontId="9" fillId="0" borderId="10" xfId="0" applyFont="1" applyBorder="1"/>
    <xf numFmtId="0" fontId="3" fillId="0" borderId="10" xfId="0" applyFont="1" applyBorder="1"/>
    <xf numFmtId="0" fontId="17" fillId="0" borderId="10" xfId="0" applyFont="1" applyBorder="1"/>
    <xf numFmtId="3" fontId="3" fillId="4" borderId="11" xfId="0" applyNumberFormat="1" applyFont="1" applyFill="1" applyBorder="1" applyAlignment="1">
      <alignment horizontal="right" wrapText="1"/>
    </xf>
    <xf numFmtId="0" fontId="3" fillId="0" borderId="12" xfId="0" applyFont="1" applyBorder="1" applyAlignment="1">
      <alignment wrapText="1"/>
    </xf>
    <xf numFmtId="3" fontId="9" fillId="4" borderId="13" xfId="0" applyNumberFormat="1" applyFont="1" applyFill="1" applyBorder="1" applyAlignment="1">
      <alignment horizontal="right" wrapText="1"/>
    </xf>
    <xf numFmtId="3" fontId="3" fillId="0" borderId="13" xfId="0" applyNumberFormat="1" applyFont="1" applyBorder="1" applyAlignment="1">
      <alignment horizontal="right" wrapText="1"/>
    </xf>
    <xf numFmtId="3" fontId="9" fillId="4" borderId="14" xfId="0" applyNumberFormat="1" applyFont="1" applyFill="1" applyBorder="1" applyAlignment="1">
      <alignment horizontal="right" wrapText="1"/>
    </xf>
    <xf numFmtId="3" fontId="9" fillId="0" borderId="14" xfId="0" applyNumberFormat="1" applyFont="1" applyBorder="1" applyAlignment="1">
      <alignment horizontal="right" wrapText="1"/>
    </xf>
    <xf numFmtId="0" fontId="9" fillId="0" borderId="14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9" fillId="0" borderId="14" xfId="0" applyFont="1" applyBorder="1" applyAlignment="1">
      <alignment horizontal="right" wrapText="1"/>
    </xf>
    <xf numFmtId="164" fontId="9" fillId="0" borderId="14" xfId="2" applyNumberFormat="1" applyFont="1" applyFill="1" applyBorder="1" applyAlignment="1">
      <alignment horizontal="right" wrapText="1"/>
    </xf>
    <xf numFmtId="49" fontId="9" fillId="4" borderId="14" xfId="0" applyNumberFormat="1" applyFont="1" applyFill="1" applyBorder="1" applyAlignment="1">
      <alignment horizontal="right" wrapText="1"/>
    </xf>
    <xf numFmtId="3" fontId="17" fillId="4" borderId="14" xfId="0" applyNumberFormat="1" applyFont="1" applyFill="1" applyBorder="1" applyAlignment="1">
      <alignment horizontal="right" wrapText="1"/>
    </xf>
    <xf numFmtId="14" fontId="9" fillId="0" borderId="14" xfId="0" applyNumberFormat="1" applyFont="1" applyBorder="1" applyAlignment="1">
      <alignment horizontal="right" wrapText="1"/>
    </xf>
    <xf numFmtId="49" fontId="9" fillId="0" borderId="14" xfId="0" applyNumberFormat="1" applyFont="1" applyBorder="1" applyAlignment="1">
      <alignment horizontal="center" wrapText="1"/>
    </xf>
    <xf numFmtId="49" fontId="19" fillId="0" borderId="14" xfId="0" applyNumberFormat="1" applyFont="1" applyBorder="1" applyAlignment="1">
      <alignment horizontal="center" wrapText="1"/>
    </xf>
    <xf numFmtId="49" fontId="9" fillId="0" borderId="14" xfId="0" applyNumberFormat="1" applyFont="1" applyBorder="1" applyAlignment="1">
      <alignment horizontal="right" wrapText="1"/>
    </xf>
    <xf numFmtId="49" fontId="9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wrapText="1"/>
    </xf>
    <xf numFmtId="3" fontId="4" fillId="0" borderId="14" xfId="0" applyNumberFormat="1" applyFont="1" applyBorder="1" applyAlignment="1">
      <alignment horizontal="right" wrapText="1"/>
    </xf>
    <xf numFmtId="0" fontId="4" fillId="2" borderId="14" xfId="0" applyFont="1" applyFill="1" applyBorder="1" applyAlignment="1">
      <alignment horizontal="right" wrapText="1"/>
    </xf>
    <xf numFmtId="0" fontId="4" fillId="0" borderId="14" xfId="0" applyFont="1" applyBorder="1" applyAlignment="1">
      <alignment horizontal="right" wrapText="1"/>
    </xf>
    <xf numFmtId="0" fontId="4" fillId="0" borderId="14" xfId="0" applyFont="1" applyBorder="1" applyAlignment="1">
      <alignment wrapText="1"/>
    </xf>
    <xf numFmtId="3" fontId="4" fillId="0" borderId="14" xfId="0" applyNumberFormat="1" applyFont="1" applyBorder="1"/>
    <xf numFmtId="0" fontId="4" fillId="0" borderId="16" xfId="0" applyFont="1" applyBorder="1" applyAlignment="1">
      <alignment wrapText="1"/>
    </xf>
    <xf numFmtId="0" fontId="4" fillId="0" borderId="17" xfId="0" applyFont="1" applyBorder="1" applyAlignment="1">
      <alignment wrapText="1"/>
    </xf>
    <xf numFmtId="3" fontId="4" fillId="0" borderId="17" xfId="0" applyNumberFormat="1" applyFont="1" applyBorder="1" applyAlignment="1">
      <alignment wrapText="1"/>
    </xf>
    <xf numFmtId="0" fontId="4" fillId="4" borderId="17" xfId="0" applyFont="1" applyFill="1" applyBorder="1" applyAlignment="1">
      <alignment horizontal="right" wrapText="1"/>
    </xf>
    <xf numFmtId="0" fontId="4" fillId="0" borderId="17" xfId="0" applyFont="1" applyBorder="1" applyAlignment="1">
      <alignment horizontal="right" wrapText="1"/>
    </xf>
    <xf numFmtId="0" fontId="4" fillId="2" borderId="17" xfId="0" applyFont="1" applyFill="1" applyBorder="1" applyAlignment="1">
      <alignment horizontal="right" wrapText="1"/>
    </xf>
    <xf numFmtId="0" fontId="4" fillId="0" borderId="15" xfId="0" applyFont="1" applyBorder="1" applyAlignment="1">
      <alignment horizontal="right" wrapText="1"/>
    </xf>
    <xf numFmtId="0" fontId="4" fillId="0" borderId="9" xfId="0" applyFont="1" applyBorder="1" applyAlignment="1">
      <alignment wrapText="1"/>
    </xf>
    <xf numFmtId="3" fontId="3" fillId="0" borderId="14" xfId="0" applyNumberFormat="1" applyFont="1" applyBorder="1" applyAlignment="1">
      <alignment horizontal="right" wrapText="1"/>
    </xf>
    <xf numFmtId="0" fontId="4" fillId="0" borderId="18" xfId="0" applyFont="1" applyBorder="1" applyAlignment="1">
      <alignment horizontal="right" wrapText="1"/>
    </xf>
    <xf numFmtId="3" fontId="3" fillId="4" borderId="14" xfId="0" applyNumberFormat="1" applyFont="1" applyFill="1" applyBorder="1" applyAlignment="1">
      <alignment wrapText="1"/>
    </xf>
    <xf numFmtId="3" fontId="3" fillId="0" borderId="18" xfId="0" applyNumberFormat="1" applyFont="1" applyBorder="1" applyAlignment="1">
      <alignment horizontal="right" wrapText="1"/>
    </xf>
    <xf numFmtId="0" fontId="3" fillId="6" borderId="14" xfId="0" applyFont="1" applyFill="1" applyBorder="1" applyAlignment="1">
      <alignment wrapText="1"/>
    </xf>
    <xf numFmtId="3" fontId="3" fillId="6" borderId="14" xfId="0" applyNumberFormat="1" applyFont="1" applyFill="1" applyBorder="1" applyAlignment="1">
      <alignment wrapText="1"/>
    </xf>
    <xf numFmtId="3" fontId="3" fillId="6" borderId="14" xfId="0" applyNumberFormat="1" applyFont="1" applyFill="1" applyBorder="1" applyAlignment="1">
      <alignment horizontal="right" wrapText="1"/>
    </xf>
    <xf numFmtId="0" fontId="10" fillId="8" borderId="14" xfId="0" applyFont="1" applyFill="1" applyBorder="1" applyAlignment="1">
      <alignment wrapText="1"/>
    </xf>
    <xf numFmtId="3" fontId="10" fillId="8" borderId="14" xfId="0" applyNumberFormat="1" applyFont="1" applyFill="1" applyBorder="1" applyAlignment="1">
      <alignment wrapText="1"/>
    </xf>
    <xf numFmtId="3" fontId="10" fillId="8" borderId="14" xfId="0" applyNumberFormat="1" applyFont="1" applyFill="1" applyBorder="1" applyAlignment="1">
      <alignment horizontal="right" wrapText="1"/>
    </xf>
    <xf numFmtId="3" fontId="4" fillId="0" borderId="16" xfId="0" applyNumberFormat="1" applyFont="1" applyBorder="1" applyAlignment="1">
      <alignment wrapText="1"/>
    </xf>
    <xf numFmtId="3" fontId="4" fillId="2" borderId="14" xfId="0" applyNumberFormat="1" applyFont="1" applyFill="1" applyBorder="1" applyAlignment="1">
      <alignment horizontal="right" wrapText="1"/>
    </xf>
    <xf numFmtId="3" fontId="4" fillId="4" borderId="14" xfId="0" applyNumberFormat="1" applyFont="1" applyFill="1" applyBorder="1" applyAlignment="1">
      <alignment horizontal="right" wrapText="1"/>
    </xf>
    <xf numFmtId="3" fontId="4" fillId="0" borderId="15" xfId="0" applyNumberFormat="1" applyFont="1" applyBorder="1" applyAlignment="1">
      <alignment wrapText="1"/>
    </xf>
    <xf numFmtId="3" fontId="3" fillId="2" borderId="14" xfId="0" applyNumberFormat="1" applyFont="1" applyFill="1" applyBorder="1"/>
    <xf numFmtId="3" fontId="3" fillId="0" borderId="15" xfId="0" applyNumberFormat="1" applyFont="1" applyBorder="1"/>
    <xf numFmtId="3" fontId="3" fillId="2" borderId="15" xfId="0" applyNumberFormat="1" applyFont="1" applyFill="1" applyBorder="1"/>
    <xf numFmtId="3" fontId="3" fillId="0" borderId="14" xfId="0" applyNumberFormat="1" applyFont="1" applyBorder="1" applyAlignment="1">
      <alignment wrapText="1"/>
    </xf>
    <xf numFmtId="3" fontId="3" fillId="2" borderId="14" xfId="0" applyNumberFormat="1" applyFont="1" applyFill="1" applyBorder="1" applyAlignment="1">
      <alignment horizontal="right" wrapText="1"/>
    </xf>
    <xf numFmtId="0" fontId="2" fillId="0" borderId="19" xfId="0" applyFont="1" applyBorder="1" applyAlignment="1">
      <alignment wrapText="1"/>
    </xf>
    <xf numFmtId="3" fontId="2" fillId="0" borderId="19" xfId="0" applyNumberFormat="1" applyFont="1" applyBorder="1" applyAlignment="1">
      <alignment wrapText="1"/>
    </xf>
    <xf numFmtId="3" fontId="2" fillId="4" borderId="19" xfId="0" applyNumberFormat="1" applyFont="1" applyFill="1" applyBorder="1" applyAlignment="1">
      <alignment horizontal="right" wrapText="1"/>
    </xf>
    <xf numFmtId="3" fontId="2" fillId="0" borderId="19" xfId="0" applyNumberFormat="1" applyFont="1" applyBorder="1" applyAlignment="1">
      <alignment horizontal="right" wrapText="1"/>
    </xf>
    <xf numFmtId="3" fontId="2" fillId="2" borderId="19" xfId="0" applyNumberFormat="1" applyFont="1" applyFill="1" applyBorder="1" applyAlignment="1">
      <alignment horizontal="right" wrapText="1"/>
    </xf>
    <xf numFmtId="3" fontId="3" fillId="0" borderId="14" xfId="0" applyNumberFormat="1" applyFont="1" applyBorder="1"/>
    <xf numFmtId="3" fontId="3" fillId="0" borderId="16" xfId="0" applyNumberFormat="1" applyFont="1" applyBorder="1" applyAlignment="1">
      <alignment horizontal="right" wrapText="1"/>
    </xf>
    <xf numFmtId="3" fontId="3" fillId="2" borderId="15" xfId="0" applyNumberFormat="1" applyFont="1" applyFill="1" applyBorder="1" applyAlignment="1">
      <alignment horizontal="right" wrapText="1"/>
    </xf>
    <xf numFmtId="3" fontId="3" fillId="0" borderId="22" xfId="0" applyNumberFormat="1" applyFont="1" applyBorder="1" applyAlignment="1">
      <alignment horizontal="right" wrapText="1"/>
    </xf>
    <xf numFmtId="0" fontId="3" fillId="0" borderId="14" xfId="0" applyFont="1" applyBorder="1"/>
    <xf numFmtId="0" fontId="3" fillId="0" borderId="16" xfId="0" applyFont="1" applyBorder="1"/>
    <xf numFmtId="0" fontId="3" fillId="8" borderId="14" xfId="0" applyFont="1" applyFill="1" applyBorder="1" applyAlignment="1">
      <alignment wrapText="1"/>
    </xf>
    <xf numFmtId="0" fontId="3" fillId="8" borderId="23" xfId="0" applyFont="1" applyFill="1" applyBorder="1" applyAlignment="1">
      <alignment wrapText="1"/>
    </xf>
    <xf numFmtId="3" fontId="3" fillId="8" borderId="14" xfId="0" applyNumberFormat="1" applyFont="1" applyFill="1" applyBorder="1" applyAlignment="1">
      <alignment wrapText="1"/>
    </xf>
    <xf numFmtId="3" fontId="3" fillId="8" borderId="15" xfId="0" applyNumberFormat="1" applyFont="1" applyFill="1" applyBorder="1" applyAlignment="1">
      <alignment horizontal="right" wrapText="1"/>
    </xf>
    <xf numFmtId="3" fontId="3" fillId="8" borderId="14" xfId="0" applyNumberFormat="1" applyFont="1" applyFill="1" applyBorder="1" applyAlignment="1">
      <alignment horizontal="right" wrapText="1"/>
    </xf>
    <xf numFmtId="3" fontId="3" fillId="8" borderId="22" xfId="0" applyNumberFormat="1" applyFont="1" applyFill="1" applyBorder="1" applyAlignment="1">
      <alignment horizontal="right" wrapText="1"/>
    </xf>
    <xf numFmtId="0" fontId="3" fillId="6" borderId="14" xfId="0" applyFont="1" applyFill="1" applyBorder="1"/>
    <xf numFmtId="0" fontId="3" fillId="6" borderId="22" xfId="0" applyFont="1" applyFill="1" applyBorder="1" applyAlignment="1">
      <alignment wrapText="1"/>
    </xf>
    <xf numFmtId="3" fontId="3" fillId="6" borderId="24" xfId="0" applyNumberFormat="1" applyFont="1" applyFill="1" applyBorder="1" applyAlignment="1">
      <alignment wrapText="1"/>
    </xf>
    <xf numFmtId="3" fontId="3" fillId="6" borderId="22" xfId="0" applyNumberFormat="1" applyFont="1" applyFill="1" applyBorder="1" applyAlignment="1">
      <alignment horizontal="right" wrapText="1"/>
    </xf>
    <xf numFmtId="3" fontId="3" fillId="6" borderId="23" xfId="0" applyNumberFormat="1" applyFont="1" applyFill="1" applyBorder="1" applyAlignment="1">
      <alignment horizontal="right" wrapText="1"/>
    </xf>
    <xf numFmtId="3" fontId="3" fillId="6" borderId="22" xfId="0" applyNumberFormat="1" applyFont="1" applyFill="1" applyBorder="1" applyAlignment="1">
      <alignment wrapText="1"/>
    </xf>
    <xf numFmtId="0" fontId="3" fillId="8" borderId="22" xfId="0" applyFont="1" applyFill="1" applyBorder="1" applyAlignment="1">
      <alignment wrapText="1"/>
    </xf>
    <xf numFmtId="3" fontId="3" fillId="8" borderId="22" xfId="0" applyNumberFormat="1" applyFont="1" applyFill="1" applyBorder="1" applyAlignment="1">
      <alignment wrapText="1"/>
    </xf>
    <xf numFmtId="0" fontId="4" fillId="0" borderId="22" xfId="0" applyFont="1" applyBorder="1" applyAlignment="1">
      <alignment wrapText="1"/>
    </xf>
    <xf numFmtId="3" fontId="4" fillId="0" borderId="22" xfId="0" applyNumberFormat="1" applyFont="1" applyBorder="1" applyAlignment="1">
      <alignment wrapText="1"/>
    </xf>
    <xf numFmtId="3" fontId="4" fillId="2" borderId="22" xfId="0" applyNumberFormat="1" applyFont="1" applyFill="1" applyBorder="1" applyAlignment="1">
      <alignment horizontal="right" wrapText="1"/>
    </xf>
    <xf numFmtId="3" fontId="4" fillId="0" borderId="22" xfId="0" applyNumberFormat="1" applyFont="1" applyBorder="1" applyAlignment="1">
      <alignment horizontal="right" wrapText="1"/>
    </xf>
    <xf numFmtId="0" fontId="3" fillId="5" borderId="14" xfId="0" applyFont="1" applyFill="1" applyBorder="1" applyAlignment="1">
      <alignment wrapText="1"/>
    </xf>
    <xf numFmtId="3" fontId="3" fillId="5" borderId="14" xfId="0" applyNumberFormat="1" applyFont="1" applyFill="1" applyBorder="1" applyAlignment="1">
      <alignment wrapText="1"/>
    </xf>
    <xf numFmtId="3" fontId="3" fillId="5" borderId="14" xfId="0" applyNumberFormat="1" applyFont="1" applyFill="1" applyBorder="1" applyAlignment="1">
      <alignment horizontal="right" wrapText="1"/>
    </xf>
    <xf numFmtId="0" fontId="3" fillId="5" borderId="16" xfId="0" applyFont="1" applyFill="1" applyBorder="1" applyAlignment="1">
      <alignment wrapText="1"/>
    </xf>
    <xf numFmtId="3" fontId="3" fillId="5" borderId="16" xfId="0" applyNumberFormat="1" applyFont="1" applyFill="1" applyBorder="1" applyAlignment="1">
      <alignment wrapText="1"/>
    </xf>
    <xf numFmtId="0" fontId="3" fillId="5" borderId="25" xfId="0" applyFont="1" applyFill="1" applyBorder="1" applyAlignment="1">
      <alignment wrapText="1"/>
    </xf>
    <xf numFmtId="0" fontId="3" fillId="5" borderId="22" xfId="0" applyFont="1" applyFill="1" applyBorder="1" applyAlignment="1">
      <alignment wrapText="1"/>
    </xf>
    <xf numFmtId="3" fontId="3" fillId="5" borderId="22" xfId="0" applyNumberFormat="1" applyFont="1" applyFill="1" applyBorder="1" applyAlignment="1">
      <alignment wrapText="1"/>
    </xf>
    <xf numFmtId="3" fontId="3" fillId="5" borderId="26" xfId="0" applyNumberFormat="1" applyFont="1" applyFill="1" applyBorder="1" applyAlignment="1">
      <alignment horizontal="right" wrapText="1"/>
    </xf>
    <xf numFmtId="3" fontId="3" fillId="5" borderId="22" xfId="0" applyNumberFormat="1" applyFont="1" applyFill="1" applyBorder="1" applyAlignment="1">
      <alignment horizontal="right" wrapText="1"/>
    </xf>
    <xf numFmtId="3" fontId="3" fillId="5" borderId="27" xfId="0" applyNumberFormat="1" applyFont="1" applyFill="1" applyBorder="1"/>
    <xf numFmtId="3" fontId="3" fillId="5" borderId="28" xfId="0" applyNumberFormat="1" applyFont="1" applyFill="1" applyBorder="1" applyAlignment="1">
      <alignment horizontal="right" wrapText="1"/>
    </xf>
    <xf numFmtId="0" fontId="3" fillId="6" borderId="25" xfId="0" applyFont="1" applyFill="1" applyBorder="1" applyAlignment="1">
      <alignment wrapText="1"/>
    </xf>
    <xf numFmtId="3" fontId="3" fillId="6" borderId="29" xfId="0" applyNumberFormat="1" applyFont="1" applyFill="1" applyBorder="1" applyAlignment="1">
      <alignment horizontal="right" wrapText="1"/>
    </xf>
    <xf numFmtId="3" fontId="3" fillId="6" borderId="27" xfId="0" applyNumberFormat="1" applyFont="1" applyFill="1" applyBorder="1" applyAlignment="1">
      <alignment horizontal="right" wrapText="1"/>
    </xf>
    <xf numFmtId="0" fontId="3" fillId="6" borderId="30" xfId="0" applyFont="1" applyFill="1" applyBorder="1" applyAlignment="1">
      <alignment wrapText="1"/>
    </xf>
    <xf numFmtId="0" fontId="3" fillId="6" borderId="16" xfId="0" applyFont="1" applyFill="1" applyBorder="1"/>
    <xf numFmtId="0" fontId="3" fillId="7" borderId="22" xfId="0" applyFont="1" applyFill="1" applyBorder="1" applyAlignment="1">
      <alignment wrapText="1"/>
    </xf>
    <xf numFmtId="3" fontId="3" fillId="7" borderId="22" xfId="0" applyNumberFormat="1" applyFont="1" applyFill="1" applyBorder="1" applyAlignment="1">
      <alignment wrapText="1"/>
    </xf>
    <xf numFmtId="3" fontId="3" fillId="7" borderId="22" xfId="0" applyNumberFormat="1" applyFont="1" applyFill="1" applyBorder="1" applyAlignment="1">
      <alignment horizontal="right" wrapText="1"/>
    </xf>
    <xf numFmtId="3" fontId="3" fillId="7" borderId="23" xfId="0" applyNumberFormat="1" applyFont="1" applyFill="1" applyBorder="1" applyAlignment="1">
      <alignment horizontal="right" wrapText="1"/>
    </xf>
    <xf numFmtId="0" fontId="3" fillId="7" borderId="14" xfId="0" applyFont="1" applyFill="1" applyBorder="1"/>
    <xf numFmtId="3" fontId="3" fillId="7" borderId="14" xfId="0" applyNumberFormat="1" applyFont="1" applyFill="1" applyBorder="1" applyAlignment="1">
      <alignment horizontal="right" wrapText="1"/>
    </xf>
    <xf numFmtId="0" fontId="3" fillId="8" borderId="14" xfId="0" applyFont="1" applyFill="1" applyBorder="1"/>
    <xf numFmtId="0" fontId="3" fillId="6" borderId="31" xfId="0" applyFont="1" applyFill="1" applyBorder="1"/>
    <xf numFmtId="1" fontId="3" fillId="6" borderId="14" xfId="1" applyNumberFormat="1" applyFont="1" applyFill="1" applyBorder="1" applyAlignment="1">
      <alignment wrapText="1"/>
    </xf>
    <xf numFmtId="3" fontId="3" fillId="5" borderId="29" xfId="0" applyNumberFormat="1" applyFont="1" applyFill="1" applyBorder="1" applyAlignment="1">
      <alignment horizontal="right" wrapText="1"/>
    </xf>
    <xf numFmtId="3" fontId="3" fillId="5" borderId="32" xfId="0" applyNumberFormat="1" applyFont="1" applyFill="1" applyBorder="1" applyAlignment="1">
      <alignment horizontal="right" wrapText="1"/>
    </xf>
    <xf numFmtId="3" fontId="3" fillId="6" borderId="33" xfId="0" applyNumberFormat="1" applyFont="1" applyFill="1" applyBorder="1" applyAlignment="1">
      <alignment horizontal="right" wrapText="1"/>
    </xf>
    <xf numFmtId="3" fontId="4" fillId="0" borderId="14" xfId="0" applyNumberFormat="1" applyFont="1" applyBorder="1" applyAlignment="1">
      <alignment wrapText="1"/>
    </xf>
    <xf numFmtId="3" fontId="4" fillId="2" borderId="27" xfId="0" applyNumberFormat="1" applyFont="1" applyFill="1" applyBorder="1" applyAlignment="1">
      <alignment horizontal="right" wrapText="1"/>
    </xf>
    <xf numFmtId="3" fontId="4" fillId="0" borderId="27" xfId="0" applyNumberFormat="1" applyFont="1" applyBorder="1" applyAlignment="1">
      <alignment horizontal="right" wrapText="1"/>
    </xf>
    <xf numFmtId="3" fontId="4" fillId="0" borderId="34" xfId="0" applyNumberFormat="1" applyFont="1" applyBorder="1" applyAlignment="1">
      <alignment wrapText="1"/>
    </xf>
    <xf numFmtId="3" fontId="4" fillId="4" borderId="35" xfId="0" applyNumberFormat="1" applyFont="1" applyFill="1" applyBorder="1" applyAlignment="1">
      <alignment horizontal="right" wrapText="1"/>
    </xf>
    <xf numFmtId="3" fontId="4" fillId="0" borderId="35" xfId="0" applyNumberFormat="1" applyFont="1" applyBorder="1" applyAlignment="1">
      <alignment horizontal="right" wrapText="1"/>
    </xf>
    <xf numFmtId="3" fontId="4" fillId="4" borderId="27" xfId="0" applyNumberFormat="1" applyFont="1" applyFill="1" applyBorder="1" applyAlignment="1">
      <alignment horizontal="right" wrapText="1"/>
    </xf>
    <xf numFmtId="0" fontId="12" fillId="10" borderId="14" xfId="0" applyFont="1" applyFill="1" applyBorder="1" applyAlignment="1">
      <alignment wrapText="1"/>
    </xf>
    <xf numFmtId="0" fontId="13" fillId="10" borderId="14" xfId="0" applyFont="1" applyFill="1" applyBorder="1" applyAlignment="1">
      <alignment wrapText="1"/>
    </xf>
    <xf numFmtId="0" fontId="11" fillId="10" borderId="14" xfId="0" applyFont="1" applyFill="1" applyBorder="1" applyAlignment="1">
      <alignment horizontal="center" wrapText="1"/>
    </xf>
    <xf numFmtId="0" fontId="12" fillId="10" borderId="14" xfId="0" applyFont="1" applyFill="1" applyBorder="1" applyAlignment="1">
      <alignment horizontal="center" wrapText="1"/>
    </xf>
    <xf numFmtId="0" fontId="13" fillId="10" borderId="14" xfId="0" applyFont="1" applyFill="1" applyBorder="1" applyAlignment="1">
      <alignment horizontal="center" wrapText="1"/>
    </xf>
    <xf numFmtId="49" fontId="12" fillId="10" borderId="14" xfId="0" applyNumberFormat="1" applyFont="1" applyFill="1" applyBorder="1" applyAlignment="1">
      <alignment horizontal="center" wrapText="1"/>
    </xf>
    <xf numFmtId="0" fontId="13" fillId="10" borderId="14" xfId="0" applyFont="1" applyFill="1" applyBorder="1" applyAlignment="1">
      <alignment horizontal="right" wrapText="1"/>
    </xf>
    <xf numFmtId="0" fontId="13" fillId="9" borderId="14" xfId="0" applyFont="1" applyFill="1" applyBorder="1" applyAlignment="1">
      <alignment horizontal="right" wrapText="1"/>
    </xf>
    <xf numFmtId="3" fontId="13" fillId="10" borderId="14" xfId="0" applyNumberFormat="1" applyFont="1" applyFill="1" applyBorder="1" applyAlignment="1">
      <alignment horizontal="center" wrapText="1"/>
    </xf>
    <xf numFmtId="0" fontId="4" fillId="0" borderId="34" xfId="0" applyFont="1" applyBorder="1" applyAlignment="1">
      <alignment horizontal="center"/>
    </xf>
    <xf numFmtId="0" fontId="4" fillId="0" borderId="34" xfId="0" applyFont="1" applyBorder="1" applyAlignment="1">
      <alignment horizontal="center" wrapText="1"/>
    </xf>
    <xf numFmtId="0" fontId="6" fillId="0" borderId="14" xfId="0" applyFont="1" applyBorder="1" applyAlignment="1">
      <alignment horizontal="right" wrapText="1"/>
    </xf>
    <xf numFmtId="49" fontId="6" fillId="0" borderId="14" xfId="0" applyNumberFormat="1" applyFont="1" applyBorder="1" applyAlignment="1">
      <alignment horizontal="right" wrapText="1"/>
    </xf>
    <xf numFmtId="0" fontId="6" fillId="0" borderId="35" xfId="0" applyFont="1" applyBorder="1" applyAlignment="1">
      <alignment horizontal="right" wrapText="1"/>
    </xf>
    <xf numFmtId="0" fontId="6" fillId="0" borderId="27" xfId="0" applyFont="1" applyBorder="1" applyAlignment="1">
      <alignment horizontal="right" wrapText="1"/>
    </xf>
    <xf numFmtId="0" fontId="6" fillId="3" borderId="14" xfId="0" applyFont="1" applyFill="1" applyBorder="1" applyAlignment="1">
      <alignment horizontal="right" wrapText="1"/>
    </xf>
    <xf numFmtId="0" fontId="9" fillId="0" borderId="34" xfId="0" applyFont="1" applyBorder="1"/>
    <xf numFmtId="3" fontId="9" fillId="0" borderId="34" xfId="0" applyNumberFormat="1" applyFont="1" applyBorder="1"/>
    <xf numFmtId="3" fontId="9" fillId="12" borderId="34" xfId="0" applyNumberFormat="1" applyFont="1" applyFill="1" applyBorder="1"/>
    <xf numFmtId="0" fontId="6" fillId="9" borderId="14" xfId="0" applyFont="1" applyFill="1" applyBorder="1" applyAlignment="1">
      <alignment wrapText="1"/>
    </xf>
    <xf numFmtId="0" fontId="4" fillId="9" borderId="14" xfId="0" applyFont="1" applyFill="1" applyBorder="1" applyAlignment="1">
      <alignment wrapText="1"/>
    </xf>
    <xf numFmtId="0" fontId="6" fillId="9" borderId="14" xfId="0" applyFont="1" applyFill="1" applyBorder="1" applyAlignment="1">
      <alignment horizontal="right" wrapText="1"/>
    </xf>
    <xf numFmtId="3" fontId="9" fillId="9" borderId="14" xfId="0" applyNumberFormat="1" applyFont="1" applyFill="1" applyBorder="1" applyAlignment="1">
      <alignment horizontal="right" wrapText="1"/>
    </xf>
    <xf numFmtId="49" fontId="6" fillId="9" borderId="14" xfId="0" applyNumberFormat="1" applyFont="1" applyFill="1" applyBorder="1" applyAlignment="1">
      <alignment horizontal="right" wrapText="1"/>
    </xf>
    <xf numFmtId="0" fontId="6" fillId="9" borderId="18" xfId="0" applyFont="1" applyFill="1" applyBorder="1" applyAlignment="1">
      <alignment horizontal="right" wrapText="1"/>
    </xf>
    <xf numFmtId="0" fontId="9" fillId="0" borderId="14" xfId="0" applyFont="1" applyBorder="1"/>
    <xf numFmtId="3" fontId="9" fillId="0" borderId="27" xfId="0" applyNumberFormat="1" applyFont="1" applyBorder="1" applyAlignment="1">
      <alignment horizontal="right" wrapText="1"/>
    </xf>
    <xf numFmtId="3" fontId="9" fillId="3" borderId="14" xfId="0" applyNumberFormat="1" applyFont="1" applyFill="1" applyBorder="1" applyAlignment="1">
      <alignment horizontal="right" wrapText="1"/>
    </xf>
    <xf numFmtId="3" fontId="6" fillId="9" borderId="14" xfId="0" applyNumberFormat="1" applyFont="1" applyFill="1" applyBorder="1" applyAlignment="1">
      <alignment horizontal="right" wrapText="1"/>
    </xf>
    <xf numFmtId="164" fontId="6" fillId="9" borderId="14" xfId="2" applyNumberFormat="1" applyFont="1" applyFill="1" applyBorder="1" applyAlignment="1">
      <alignment horizontal="right" wrapText="1"/>
    </xf>
    <xf numFmtId="3" fontId="6" fillId="9" borderId="27" xfId="0" applyNumberFormat="1" applyFont="1" applyFill="1" applyBorder="1" applyAlignment="1">
      <alignment horizontal="right" wrapText="1"/>
    </xf>
    <xf numFmtId="3" fontId="6" fillId="3" borderId="14" xfId="0" applyNumberFormat="1" applyFont="1" applyFill="1" applyBorder="1" applyAlignment="1">
      <alignment horizontal="right" wrapText="1"/>
    </xf>
    <xf numFmtId="3" fontId="6" fillId="0" borderId="14" xfId="0" applyNumberFormat="1" applyFont="1" applyBorder="1" applyAlignment="1">
      <alignment horizontal="right" wrapText="1"/>
    </xf>
    <xf numFmtId="3" fontId="6" fillId="0" borderId="27" xfId="0" applyNumberFormat="1" applyFont="1" applyBorder="1" applyAlignment="1">
      <alignment horizontal="right" wrapText="1"/>
    </xf>
    <xf numFmtId="3" fontId="6" fillId="4" borderId="14" xfId="0" applyNumberFormat="1" applyFont="1" applyFill="1" applyBorder="1" applyAlignment="1">
      <alignment horizontal="right" wrapText="1"/>
    </xf>
    <xf numFmtId="49" fontId="6" fillId="4" borderId="14" xfId="0" applyNumberFormat="1" applyFont="1" applyFill="1" applyBorder="1" applyAlignment="1">
      <alignment horizontal="right" wrapText="1"/>
    </xf>
    <xf numFmtId="3" fontId="9" fillId="9" borderId="14" xfId="0" applyNumberFormat="1" applyFont="1" applyFill="1" applyBorder="1"/>
    <xf numFmtId="0" fontId="9" fillId="9" borderId="14" xfId="0" applyFont="1" applyFill="1" applyBorder="1"/>
    <xf numFmtId="49" fontId="9" fillId="9" borderId="14" xfId="0" applyNumberFormat="1" applyFont="1" applyFill="1" applyBorder="1"/>
    <xf numFmtId="3" fontId="9" fillId="9" borderId="27" xfId="0" applyNumberFormat="1" applyFont="1" applyFill="1" applyBorder="1"/>
    <xf numFmtId="3" fontId="9" fillId="3" borderId="14" xfId="0" applyNumberFormat="1" applyFont="1" applyFill="1" applyBorder="1"/>
    <xf numFmtId="3" fontId="9" fillId="0" borderId="14" xfId="0" applyNumberFormat="1" applyFont="1" applyBorder="1" applyAlignment="1">
      <alignment wrapText="1"/>
    </xf>
    <xf numFmtId="3" fontId="9" fillId="0" borderId="27" xfId="0" applyNumberFormat="1" applyFont="1" applyBorder="1" applyAlignment="1">
      <alignment wrapText="1"/>
    </xf>
    <xf numFmtId="3" fontId="6" fillId="0" borderId="14" xfId="0" applyNumberFormat="1" applyFont="1" applyBorder="1" applyAlignment="1">
      <alignment wrapText="1"/>
    </xf>
    <xf numFmtId="3" fontId="9" fillId="3" borderId="14" xfId="0" applyNumberFormat="1" applyFont="1" applyFill="1" applyBorder="1" applyAlignment="1">
      <alignment wrapText="1"/>
    </xf>
    <xf numFmtId="49" fontId="9" fillId="0" borderId="27" xfId="0" applyNumberFormat="1" applyFont="1" applyBorder="1" applyAlignment="1">
      <alignment horizontal="right" wrapText="1"/>
    </xf>
    <xf numFmtId="3" fontId="9" fillId="11" borderId="14" xfId="0" applyNumberFormat="1" applyFont="1" applyFill="1" applyBorder="1" applyAlignment="1">
      <alignment horizontal="right" wrapText="1"/>
    </xf>
    <xf numFmtId="0" fontId="9" fillId="0" borderId="27" xfId="0" applyFont="1" applyBorder="1" applyAlignment="1">
      <alignment horizontal="right" wrapText="1"/>
    </xf>
    <xf numFmtId="49" fontId="9" fillId="0" borderId="27" xfId="0" applyNumberFormat="1" applyFont="1" applyBorder="1" applyAlignment="1">
      <alignment horizontal="center" wrapText="1"/>
    </xf>
    <xf numFmtId="17" fontId="9" fillId="0" borderId="27" xfId="0" applyNumberFormat="1" applyFont="1" applyBorder="1" applyAlignment="1">
      <alignment horizontal="right" wrapText="1"/>
    </xf>
    <xf numFmtId="0" fontId="9" fillId="4" borderId="14" xfId="0" applyFont="1" applyFill="1" applyBorder="1" applyAlignment="1">
      <alignment wrapText="1"/>
    </xf>
    <xf numFmtId="3" fontId="17" fillId="9" borderId="14" xfId="0" applyNumberFormat="1" applyFont="1" applyFill="1" applyBorder="1"/>
    <xf numFmtId="49" fontId="17" fillId="9" borderId="14" xfId="0" applyNumberFormat="1" applyFont="1" applyFill="1" applyBorder="1"/>
    <xf numFmtId="3" fontId="17" fillId="9" borderId="27" xfId="0" applyNumberFormat="1" applyFont="1" applyFill="1" applyBorder="1"/>
    <xf numFmtId="3" fontId="9" fillId="0" borderId="14" xfId="0" applyNumberFormat="1" applyFont="1" applyBorder="1"/>
    <xf numFmtId="3" fontId="17" fillId="0" borderId="14" xfId="0" applyNumberFormat="1" applyFont="1" applyBorder="1"/>
    <xf numFmtId="49" fontId="17" fillId="0" borderId="14" xfId="0" applyNumberFormat="1" applyFont="1" applyBorder="1"/>
    <xf numFmtId="3" fontId="17" fillId="0" borderId="27" xfId="0" applyNumberFormat="1" applyFont="1" applyBorder="1"/>
    <xf numFmtId="0" fontId="9" fillId="4" borderId="14" xfId="0" applyFont="1" applyFill="1" applyBorder="1"/>
    <xf numFmtId="0" fontId="9" fillId="0" borderId="27" xfId="0" applyFont="1" applyBorder="1"/>
    <xf numFmtId="49" fontId="17" fillId="0" borderId="14" xfId="0" applyNumberFormat="1" applyFont="1" applyBorder="1" applyAlignment="1">
      <alignment horizontal="right" wrapText="1"/>
    </xf>
    <xf numFmtId="49" fontId="17" fillId="4" borderId="14" xfId="0" applyNumberFormat="1" applyFont="1" applyFill="1" applyBorder="1" applyAlignment="1">
      <alignment horizontal="right" wrapText="1"/>
    </xf>
    <xf numFmtId="0" fontId="17" fillId="4" borderId="14" xfId="0" applyFont="1" applyFill="1" applyBorder="1"/>
    <xf numFmtId="0" fontId="17" fillId="4" borderId="27" xfId="0" applyFont="1" applyFill="1" applyBorder="1"/>
    <xf numFmtId="3" fontId="17" fillId="0" borderId="14" xfId="0" applyNumberFormat="1" applyFont="1" applyBorder="1" applyAlignment="1">
      <alignment horizontal="right" wrapText="1"/>
    </xf>
    <xf numFmtId="3" fontId="17" fillId="4" borderId="27" xfId="0" applyNumberFormat="1" applyFont="1" applyFill="1" applyBorder="1" applyAlignment="1">
      <alignment horizontal="right" wrapText="1"/>
    </xf>
    <xf numFmtId="3" fontId="9" fillId="11" borderId="14" xfId="0" applyNumberFormat="1" applyFont="1" applyFill="1" applyBorder="1"/>
    <xf numFmtId="14" fontId="19" fillId="0" borderId="27" xfId="0" applyNumberFormat="1" applyFont="1" applyBorder="1"/>
    <xf numFmtId="3" fontId="9" fillId="4" borderId="14" xfId="0" applyNumberFormat="1" applyFont="1" applyFill="1" applyBorder="1"/>
    <xf numFmtId="3" fontId="17" fillId="4" borderId="14" xfId="0" applyNumberFormat="1" applyFont="1" applyFill="1" applyBorder="1"/>
    <xf numFmtId="3" fontId="17" fillId="4" borderId="27" xfId="0" applyNumberFormat="1" applyFont="1" applyFill="1" applyBorder="1"/>
    <xf numFmtId="0" fontId="3" fillId="4" borderId="14" xfId="0" applyFont="1" applyFill="1" applyBorder="1" applyAlignment="1">
      <alignment wrapText="1"/>
    </xf>
    <xf numFmtId="0" fontId="9" fillId="4" borderId="14" xfId="0" applyFont="1" applyFill="1" applyBorder="1" applyAlignment="1">
      <alignment horizontal="right" wrapText="1"/>
    </xf>
    <xf numFmtId="3" fontId="18" fillId="9" borderId="14" xfId="0" applyNumberFormat="1" applyFont="1" applyFill="1" applyBorder="1" applyAlignment="1">
      <alignment horizontal="right" wrapText="1"/>
    </xf>
    <xf numFmtId="49" fontId="18" fillId="9" borderId="14" xfId="0" applyNumberFormat="1" applyFont="1" applyFill="1" applyBorder="1" applyAlignment="1">
      <alignment horizontal="right" wrapText="1"/>
    </xf>
    <xf numFmtId="3" fontId="18" fillId="9" borderId="27" xfId="0" applyNumberFormat="1" applyFont="1" applyFill="1" applyBorder="1" applyAlignment="1">
      <alignment horizontal="right" wrapText="1"/>
    </xf>
    <xf numFmtId="3" fontId="18" fillId="0" borderId="14" xfId="0" applyNumberFormat="1" applyFont="1" applyBorder="1" applyAlignment="1">
      <alignment horizontal="right" wrapText="1"/>
    </xf>
    <xf numFmtId="49" fontId="18" fillId="0" borderId="14" xfId="0" applyNumberFormat="1" applyFont="1" applyBorder="1" applyAlignment="1">
      <alignment horizontal="right" wrapText="1"/>
    </xf>
    <xf numFmtId="3" fontId="18" fillId="0" borderId="27" xfId="0" applyNumberFormat="1" applyFont="1" applyBorder="1" applyAlignment="1">
      <alignment horizontal="right" wrapText="1"/>
    </xf>
    <xf numFmtId="3" fontId="17" fillId="0" borderId="27" xfId="0" applyNumberFormat="1" applyFont="1" applyBorder="1" applyAlignment="1">
      <alignment horizontal="right" wrapText="1"/>
    </xf>
    <xf numFmtId="0" fontId="17" fillId="0" borderId="14" xfId="0" applyFont="1" applyBorder="1"/>
    <xf numFmtId="0" fontId="17" fillId="0" borderId="27" xfId="0" applyFont="1" applyBorder="1"/>
    <xf numFmtId="0" fontId="9" fillId="3" borderId="14" xfId="0" applyFont="1" applyFill="1" applyBorder="1"/>
    <xf numFmtId="0" fontId="18" fillId="9" borderId="14" xfId="0" applyFont="1" applyFill="1" applyBorder="1" applyAlignment="1">
      <alignment horizontal="right" wrapText="1"/>
    </xf>
    <xf numFmtId="0" fontId="18" fillId="9" borderId="27" xfId="0" applyFont="1" applyFill="1" applyBorder="1" applyAlignment="1">
      <alignment horizontal="right" wrapText="1"/>
    </xf>
    <xf numFmtId="3" fontId="17" fillId="4" borderId="18" xfId="0" applyNumberFormat="1" applyFont="1" applyFill="1" applyBorder="1" applyAlignment="1">
      <alignment horizontal="right" wrapText="1"/>
    </xf>
    <xf numFmtId="0" fontId="9" fillId="0" borderId="14" xfId="0" applyFont="1" applyBorder="1" applyAlignment="1">
      <alignment horizontal="left" wrapText="1"/>
    </xf>
    <xf numFmtId="3" fontId="17" fillId="0" borderId="23" xfId="0" applyNumberFormat="1" applyFont="1" applyBorder="1" applyAlignment="1">
      <alignment horizontal="right" wrapText="1"/>
    </xf>
    <xf numFmtId="0" fontId="9" fillId="0" borderId="14" xfId="0" applyFont="1" applyBorder="1" applyAlignment="1">
      <alignment horizontal="right"/>
    </xf>
    <xf numFmtId="3" fontId="18" fillId="2" borderId="14" xfId="0" applyNumberFormat="1" applyFont="1" applyFill="1" applyBorder="1" applyAlignment="1">
      <alignment horizontal="right" wrapText="1"/>
    </xf>
    <xf numFmtId="49" fontId="18" fillId="2" borderId="14" xfId="0" applyNumberFormat="1" applyFont="1" applyFill="1" applyBorder="1" applyAlignment="1">
      <alignment horizontal="right" wrapText="1"/>
    </xf>
    <xf numFmtId="3" fontId="18" fillId="2" borderId="27" xfId="0" applyNumberFormat="1" applyFont="1" applyFill="1" applyBorder="1" applyAlignment="1">
      <alignment horizontal="right" wrapText="1"/>
    </xf>
    <xf numFmtId="0" fontId="18" fillId="10" borderId="14" xfId="0" applyFont="1" applyFill="1" applyBorder="1" applyAlignment="1">
      <alignment horizontal="right" wrapText="1"/>
    </xf>
    <xf numFmtId="3" fontId="12" fillId="10" borderId="14" xfId="0" applyNumberFormat="1" applyFont="1" applyFill="1" applyBorder="1" applyAlignment="1">
      <alignment horizontal="right" wrapText="1"/>
    </xf>
    <xf numFmtId="164" fontId="12" fillId="10" borderId="14" xfId="2" applyNumberFormat="1" applyFont="1" applyFill="1" applyBorder="1" applyAlignment="1">
      <alignment horizontal="right" wrapText="1"/>
    </xf>
    <xf numFmtId="3" fontId="18" fillId="10" borderId="14" xfId="0" applyNumberFormat="1" applyFont="1" applyFill="1" applyBorder="1" applyAlignment="1">
      <alignment horizontal="right" wrapText="1"/>
    </xf>
    <xf numFmtId="49" fontId="18" fillId="10" borderId="14" xfId="0" applyNumberFormat="1" applyFont="1" applyFill="1" applyBorder="1" applyAlignment="1">
      <alignment horizontal="right" wrapText="1"/>
    </xf>
    <xf numFmtId="3" fontId="18" fillId="10" borderId="27" xfId="0" applyNumberFormat="1" applyFont="1" applyFill="1" applyBorder="1" applyAlignment="1">
      <alignment horizontal="right" wrapText="1"/>
    </xf>
    <xf numFmtId="0" fontId="18" fillId="10" borderId="14" xfId="0" applyFont="1" applyFill="1" applyBorder="1" applyAlignment="1">
      <alignment horizontal="center" wrapText="1"/>
    </xf>
    <xf numFmtId="0" fontId="4" fillId="9" borderId="14" xfId="0" applyFont="1" applyFill="1" applyBorder="1" applyAlignment="1">
      <alignment horizontal="right" wrapText="1"/>
    </xf>
    <xf numFmtId="0" fontId="17" fillId="4" borderId="14" xfId="0" applyFont="1" applyFill="1" applyBorder="1" applyAlignment="1">
      <alignment wrapText="1"/>
    </xf>
    <xf numFmtId="0" fontId="10" fillId="0" borderId="14" xfId="0" applyFont="1" applyBorder="1" applyAlignment="1">
      <alignment wrapText="1"/>
    </xf>
    <xf numFmtId="0" fontId="17" fillId="0" borderId="14" xfId="0" applyFont="1" applyBorder="1" applyAlignment="1">
      <alignment horizontal="right" wrapText="1"/>
    </xf>
    <xf numFmtId="49" fontId="9" fillId="0" borderId="14" xfId="0" applyNumberFormat="1" applyFont="1" applyBorder="1"/>
    <xf numFmtId="3" fontId="9" fillId="0" borderId="27" xfId="0" applyNumberFormat="1" applyFont="1" applyBorder="1"/>
    <xf numFmtId="0" fontId="9" fillId="4" borderId="27" xfId="0" applyFont="1" applyFill="1" applyBorder="1"/>
    <xf numFmtId="3" fontId="9" fillId="4" borderId="27" xfId="0" applyNumberFormat="1" applyFont="1" applyFill="1" applyBorder="1" applyAlignment="1">
      <alignment horizontal="right" wrapText="1"/>
    </xf>
    <xf numFmtId="0" fontId="17" fillId="0" borderId="14" xfId="0" applyFont="1" applyBorder="1" applyAlignment="1">
      <alignment wrapText="1"/>
    </xf>
    <xf numFmtId="3" fontId="9" fillId="4" borderId="27" xfId="0" applyNumberFormat="1" applyFont="1" applyFill="1" applyBorder="1"/>
    <xf numFmtId="0" fontId="10" fillId="4" borderId="14" xfId="0" applyFont="1" applyFill="1" applyBorder="1" applyAlignment="1">
      <alignment wrapText="1"/>
    </xf>
    <xf numFmtId="0" fontId="17" fillId="4" borderId="14" xfId="0" applyFont="1" applyFill="1" applyBorder="1" applyAlignment="1">
      <alignment horizontal="right" wrapText="1"/>
    </xf>
    <xf numFmtId="0" fontId="13" fillId="10" borderId="27" xfId="0" applyFont="1" applyFill="1" applyBorder="1" applyAlignment="1">
      <alignment horizontal="right" wrapText="1"/>
    </xf>
    <xf numFmtId="0" fontId="6" fillId="9" borderId="27" xfId="0" applyFont="1" applyFill="1" applyBorder="1" applyAlignment="1">
      <alignment horizontal="right" wrapText="1"/>
    </xf>
    <xf numFmtId="3" fontId="9" fillId="4" borderId="18" xfId="0" applyNumberFormat="1" applyFont="1" applyFill="1" applyBorder="1" applyAlignment="1">
      <alignment horizontal="right" wrapText="1"/>
    </xf>
    <xf numFmtId="3" fontId="9" fillId="0" borderId="23" xfId="0" applyNumberFormat="1" applyFont="1" applyBorder="1" applyAlignment="1">
      <alignment horizontal="right" wrapText="1"/>
    </xf>
    <xf numFmtId="0" fontId="6" fillId="2" borderId="14" xfId="0" applyFont="1" applyFill="1" applyBorder="1" applyAlignment="1">
      <alignment wrapText="1"/>
    </xf>
    <xf numFmtId="0" fontId="4" fillId="2" borderId="14" xfId="0" applyFont="1" applyFill="1" applyBorder="1" applyAlignment="1">
      <alignment wrapText="1"/>
    </xf>
    <xf numFmtId="0" fontId="6" fillId="2" borderId="14" xfId="0" applyFont="1" applyFill="1" applyBorder="1" applyAlignment="1">
      <alignment horizontal="right" wrapText="1"/>
    </xf>
    <xf numFmtId="3" fontId="6" fillId="2" borderId="14" xfId="0" applyNumberFormat="1" applyFont="1" applyFill="1" applyBorder="1" applyAlignment="1">
      <alignment horizontal="right" wrapText="1"/>
    </xf>
    <xf numFmtId="164" fontId="6" fillId="2" borderId="14" xfId="2" applyNumberFormat="1" applyFont="1" applyFill="1" applyBorder="1" applyAlignment="1">
      <alignment horizontal="right" wrapText="1"/>
    </xf>
    <xf numFmtId="0" fontId="18" fillId="2" borderId="14" xfId="0" applyFont="1" applyFill="1" applyBorder="1" applyAlignment="1">
      <alignment horizontal="right" wrapText="1"/>
    </xf>
    <xf numFmtId="49" fontId="6" fillId="2" borderId="14" xfId="0" applyNumberFormat="1" applyFont="1" applyFill="1" applyBorder="1" applyAlignment="1">
      <alignment horizontal="right" wrapText="1"/>
    </xf>
    <xf numFmtId="3" fontId="6" fillId="2" borderId="27" xfId="0" applyNumberFormat="1" applyFont="1" applyFill="1" applyBorder="1" applyAlignment="1">
      <alignment horizontal="right" wrapText="1"/>
    </xf>
    <xf numFmtId="0" fontId="18" fillId="0" borderId="14" xfId="0" applyFont="1" applyBorder="1" applyAlignment="1">
      <alignment horizontal="right" wrapText="1"/>
    </xf>
    <xf numFmtId="49" fontId="12" fillId="10" borderId="14" xfId="0" applyNumberFormat="1" applyFont="1" applyFill="1" applyBorder="1" applyAlignment="1">
      <alignment horizontal="right" wrapText="1"/>
    </xf>
    <xf numFmtId="3" fontId="12" fillId="10" borderId="27" xfId="0" applyNumberFormat="1" applyFont="1" applyFill="1" applyBorder="1" applyAlignment="1">
      <alignment horizontal="right" wrapText="1"/>
    </xf>
    <xf numFmtId="0" fontId="11" fillId="10" borderId="14" xfId="0" applyFont="1" applyFill="1" applyBorder="1" applyAlignment="1">
      <alignment horizontal="right" wrapText="1"/>
    </xf>
    <xf numFmtId="3" fontId="11" fillId="10" borderId="14" xfId="0" applyNumberFormat="1" applyFont="1" applyFill="1" applyBorder="1" applyAlignment="1">
      <alignment horizontal="right" wrapText="1"/>
    </xf>
    <xf numFmtId="0" fontId="12" fillId="10" borderId="14" xfId="0" applyFont="1" applyFill="1" applyBorder="1" applyAlignment="1">
      <alignment horizontal="right" wrapText="1"/>
    </xf>
    <xf numFmtId="3" fontId="13" fillId="10" borderId="14" xfId="0" applyNumberFormat="1" applyFont="1" applyFill="1" applyBorder="1" applyAlignment="1">
      <alignment wrapText="1"/>
    </xf>
    <xf numFmtId="3" fontId="11" fillId="10" borderId="14" xfId="0" applyNumberFormat="1" applyFont="1" applyFill="1" applyBorder="1" applyAlignment="1">
      <alignment wrapText="1"/>
    </xf>
    <xf numFmtId="0" fontId="4" fillId="0" borderId="35" xfId="0" applyFont="1" applyBorder="1" applyAlignment="1">
      <alignment wrapText="1"/>
    </xf>
    <xf numFmtId="0" fontId="4" fillId="0" borderId="35" xfId="0" applyFont="1" applyBorder="1" applyAlignment="1">
      <alignment horizontal="right" wrapText="1"/>
    </xf>
    <xf numFmtId="3" fontId="11" fillId="0" borderId="35" xfId="0" applyNumberFormat="1" applyFont="1" applyBorder="1" applyAlignment="1">
      <alignment wrapText="1"/>
    </xf>
    <xf numFmtId="0" fontId="4" fillId="0" borderId="27" xfId="0" applyFont="1" applyBorder="1" applyAlignment="1">
      <alignment horizontal="right" wrapText="1"/>
    </xf>
    <xf numFmtId="0" fontId="4" fillId="9" borderId="29" xfId="0" applyFont="1" applyFill="1" applyBorder="1" applyAlignment="1">
      <alignment wrapText="1"/>
    </xf>
    <xf numFmtId="3" fontId="10" fillId="9" borderId="14" xfId="0" applyNumberFormat="1" applyFont="1" applyFill="1" applyBorder="1" applyAlignment="1">
      <alignment wrapText="1"/>
    </xf>
    <xf numFmtId="3" fontId="3" fillId="9" borderId="14" xfId="0" applyNumberFormat="1" applyFont="1" applyFill="1" applyBorder="1" applyAlignment="1">
      <alignment horizontal="right" wrapText="1"/>
    </xf>
    <xf numFmtId="0" fontId="6" fillId="9" borderId="36" xfId="0" applyFont="1" applyFill="1" applyBorder="1" applyAlignment="1">
      <alignment horizontal="right" wrapText="1"/>
    </xf>
    <xf numFmtId="0" fontId="4" fillId="9" borderId="36" xfId="0" applyFont="1" applyFill="1" applyBorder="1" applyAlignment="1">
      <alignment horizontal="right" wrapText="1"/>
    </xf>
    <xf numFmtId="0" fontId="3" fillId="0" borderId="14" xfId="0" applyFont="1" applyBorder="1" applyAlignment="1">
      <alignment horizontal="right" wrapText="1"/>
    </xf>
    <xf numFmtId="3" fontId="10" fillId="0" borderId="14" xfId="0" applyNumberFormat="1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3" fillId="0" borderId="16" xfId="0" applyFont="1" applyBorder="1" applyAlignment="1">
      <alignment horizontal="right" wrapText="1"/>
    </xf>
    <xf numFmtId="0" fontId="4" fillId="9" borderId="16" xfId="0" applyFont="1" applyFill="1" applyBorder="1" applyAlignment="1">
      <alignment wrapText="1"/>
    </xf>
    <xf numFmtId="0" fontId="4" fillId="9" borderId="16" xfId="0" applyFont="1" applyFill="1" applyBorder="1" applyAlignment="1">
      <alignment horizontal="right" wrapText="1"/>
    </xf>
    <xf numFmtId="3" fontId="11" fillId="9" borderId="14" xfId="0" applyNumberFormat="1" applyFont="1" applyFill="1" applyBorder="1" applyAlignment="1">
      <alignment horizontal="right" wrapText="1"/>
    </xf>
    <xf numFmtId="3" fontId="4" fillId="9" borderId="14" xfId="0" applyNumberFormat="1" applyFont="1" applyFill="1" applyBorder="1" applyAlignment="1">
      <alignment horizontal="right" wrapText="1"/>
    </xf>
    <xf numFmtId="0" fontId="4" fillId="9" borderId="35" xfId="0" applyFont="1" applyFill="1" applyBorder="1" applyAlignment="1">
      <alignment wrapText="1"/>
    </xf>
    <xf numFmtId="0" fontId="4" fillId="9" borderId="35" xfId="0" applyFont="1" applyFill="1" applyBorder="1" applyAlignment="1">
      <alignment horizontal="right" wrapText="1"/>
    </xf>
    <xf numFmtId="3" fontId="11" fillId="9" borderId="27" xfId="0" applyNumberFormat="1" applyFont="1" applyFill="1" applyBorder="1" applyAlignment="1">
      <alignment wrapText="1"/>
    </xf>
    <xf numFmtId="3" fontId="4" fillId="9" borderId="27" xfId="0" applyNumberFormat="1" applyFont="1" applyFill="1" applyBorder="1" applyAlignment="1">
      <alignment horizontal="right" wrapText="1"/>
    </xf>
    <xf numFmtId="3" fontId="11" fillId="9" borderId="14" xfId="0" applyNumberFormat="1" applyFont="1" applyFill="1" applyBorder="1" applyAlignment="1">
      <alignment wrapText="1"/>
    </xf>
    <xf numFmtId="3" fontId="3" fillId="9" borderId="14" xfId="0" applyNumberFormat="1" applyFont="1" applyFill="1" applyBorder="1"/>
    <xf numFmtId="3" fontId="11" fillId="0" borderId="14" xfId="0" applyNumberFormat="1" applyFont="1" applyBorder="1" applyAlignment="1">
      <alignment wrapText="1"/>
    </xf>
    <xf numFmtId="3" fontId="4" fillId="0" borderId="16" xfId="0" applyNumberFormat="1" applyFont="1" applyBorder="1" applyAlignment="1">
      <alignment horizontal="right" wrapText="1"/>
    </xf>
    <xf numFmtId="3" fontId="3" fillId="9" borderId="16" xfId="0" applyNumberFormat="1" applyFont="1" applyFill="1" applyBorder="1"/>
    <xf numFmtId="3" fontId="3" fillId="0" borderId="16" xfId="0" applyNumberFormat="1" applyFont="1" applyBorder="1"/>
    <xf numFmtId="0" fontId="3" fillId="4" borderId="16" xfId="0" applyFont="1" applyFill="1" applyBorder="1"/>
    <xf numFmtId="3" fontId="3" fillId="4" borderId="14" xfId="0" applyNumberFormat="1" applyFont="1" applyFill="1" applyBorder="1" applyAlignment="1">
      <alignment horizontal="right" wrapText="1"/>
    </xf>
    <xf numFmtId="0" fontId="3" fillId="4" borderId="14" xfId="0" applyFont="1" applyFill="1" applyBorder="1"/>
    <xf numFmtId="3" fontId="3" fillId="4" borderId="16" xfId="0" applyNumberFormat="1" applyFont="1" applyFill="1" applyBorder="1" applyAlignment="1">
      <alignment horizontal="right" wrapText="1"/>
    </xf>
    <xf numFmtId="3" fontId="3" fillId="4" borderId="16" xfId="0" applyNumberFormat="1" applyFont="1" applyFill="1" applyBorder="1"/>
    <xf numFmtId="3" fontId="3" fillId="4" borderId="14" xfId="0" applyNumberFormat="1" applyFont="1" applyFill="1" applyBorder="1"/>
    <xf numFmtId="0" fontId="3" fillId="4" borderId="14" xfId="0" applyFont="1" applyFill="1" applyBorder="1" applyAlignment="1">
      <alignment horizontal="right" wrapText="1"/>
    </xf>
    <xf numFmtId="3" fontId="11" fillId="0" borderId="14" xfId="0" applyNumberFormat="1" applyFont="1" applyBorder="1" applyAlignment="1">
      <alignment horizontal="right" wrapText="1"/>
    </xf>
    <xf numFmtId="0" fontId="3" fillId="0" borderId="27" xfId="0" applyFont="1" applyBorder="1" applyAlignment="1">
      <alignment wrapText="1"/>
    </xf>
    <xf numFmtId="3" fontId="3" fillId="4" borderId="18" xfId="0" applyNumberFormat="1" applyFont="1" applyFill="1" applyBorder="1" applyAlignment="1">
      <alignment horizontal="right" wrapText="1"/>
    </xf>
    <xf numFmtId="3" fontId="3" fillId="0" borderId="27" xfId="0" applyNumberFormat="1" applyFont="1" applyBorder="1" applyAlignment="1">
      <alignment horizontal="right" wrapText="1"/>
    </xf>
    <xf numFmtId="0" fontId="3" fillId="0" borderId="14" xfId="0" applyFont="1" applyBorder="1" applyAlignment="1">
      <alignment horizontal="left" wrapText="1"/>
    </xf>
    <xf numFmtId="0" fontId="3" fillId="0" borderId="9" xfId="0" applyFont="1" applyBorder="1" applyAlignment="1">
      <alignment wrapText="1"/>
    </xf>
    <xf numFmtId="0" fontId="3" fillId="0" borderId="9" xfId="0" applyFont="1" applyBorder="1" applyAlignment="1">
      <alignment horizontal="right" wrapText="1"/>
    </xf>
    <xf numFmtId="0" fontId="3" fillId="0" borderId="27" xfId="0" applyFont="1" applyBorder="1" applyAlignment="1">
      <alignment horizontal="right" wrapText="1"/>
    </xf>
    <xf numFmtId="3" fontId="11" fillId="2" borderId="14" xfId="0" applyNumberFormat="1" applyFont="1" applyFill="1" applyBorder="1" applyAlignment="1">
      <alignment horizontal="right" wrapText="1"/>
    </xf>
    <xf numFmtId="0" fontId="4" fillId="0" borderId="27" xfId="0" applyFont="1" applyBorder="1" applyAlignment="1">
      <alignment wrapText="1"/>
    </xf>
    <xf numFmtId="3" fontId="13" fillId="10" borderId="14" xfId="0" applyNumberFormat="1" applyFont="1" applyFill="1" applyBorder="1" applyAlignment="1">
      <alignment horizontal="right" wrapText="1"/>
    </xf>
    <xf numFmtId="3" fontId="9" fillId="12" borderId="14" xfId="0" applyNumberFormat="1" applyFont="1" applyFill="1" applyBorder="1" applyAlignment="1">
      <alignment horizontal="right" wrapText="1"/>
    </xf>
    <xf numFmtId="3" fontId="3" fillId="2" borderId="20" xfId="0" applyNumberFormat="1" applyFont="1" applyFill="1" applyBorder="1" applyAlignment="1">
      <alignment horizontal="center" wrapText="1"/>
    </xf>
    <xf numFmtId="3" fontId="3" fillId="2" borderId="21" xfId="0" applyNumberFormat="1" applyFont="1" applyFill="1" applyBorder="1" applyAlignment="1">
      <alignment horizontal="center" wrapText="1"/>
    </xf>
    <xf numFmtId="0" fontId="13" fillId="9" borderId="16" xfId="0" applyFont="1" applyFill="1" applyBorder="1" applyAlignment="1">
      <alignment horizontal="center" wrapText="1"/>
    </xf>
    <xf numFmtId="0" fontId="13" fillId="9" borderId="35" xfId="0" applyFont="1" applyFill="1" applyBorder="1" applyAlignment="1">
      <alignment horizontal="center" wrapText="1"/>
    </xf>
    <xf numFmtId="0" fontId="13" fillId="9" borderId="27" xfId="0" applyFont="1" applyFill="1" applyBorder="1" applyAlignment="1">
      <alignment horizontal="center" wrapText="1"/>
    </xf>
    <xf numFmtId="0" fontId="4" fillId="9" borderId="16" xfId="0" applyFont="1" applyFill="1" applyBorder="1" applyAlignment="1">
      <alignment horizontal="center" wrapText="1"/>
    </xf>
    <xf numFmtId="0" fontId="4" fillId="9" borderId="35" xfId="0" applyFont="1" applyFill="1" applyBorder="1" applyAlignment="1">
      <alignment horizontal="center" wrapText="1"/>
    </xf>
    <xf numFmtId="0" fontId="4" fillId="9" borderId="27" xfId="0" applyFont="1" applyFill="1" applyBorder="1" applyAlignment="1">
      <alignment horizontal="center" wrapText="1"/>
    </xf>
  </cellXfs>
  <cellStyles count="5">
    <cellStyle name="Normaali" xfId="0" builtinId="0"/>
    <cellStyle name="Normaali 2" xfId="3" xr:uid="{66282CA2-E7E9-4D17-8B39-A9F853CA3E0F}"/>
    <cellStyle name="Pilkku" xfId="1" builtinId="3"/>
    <cellStyle name="Prosenttia" xfId="2" builtinId="5"/>
    <cellStyle name="Prosenttia 2" xfId="4" xr:uid="{2791D6E8-7316-4952-B275-A6C3F64548A4}"/>
  </cellStyles>
  <dxfs count="0"/>
  <tableStyles count="0" defaultTableStyle="TableStyleMedium9" defaultPivotStyle="PivotStyleLight16"/>
  <colors>
    <mruColors>
      <color rgb="FF2627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76"/>
  <sheetViews>
    <sheetView showGridLines="0" zoomScaleNormal="100" workbookViewId="0">
      <pane ySplit="2" topLeftCell="A3" activePane="bottomLeft" state="frozen"/>
      <selection pane="bottomLeft" activeCell="H68" sqref="H68"/>
    </sheetView>
  </sheetViews>
  <sheetFormatPr defaultColWidth="9.140625" defaultRowHeight="12" x14ac:dyDescent="0.2"/>
  <cols>
    <col min="1" max="1" width="49.7109375" style="1" customWidth="1"/>
    <col min="2" max="2" width="16.85546875" style="1" hidden="1" customWidth="1"/>
    <col min="3" max="3" width="23.42578125" style="14" customWidth="1"/>
    <col min="4" max="4" width="11.42578125" style="1" customWidth="1"/>
    <col min="5" max="5" width="12.140625" style="1" customWidth="1"/>
    <col min="6" max="6" width="12.140625" style="27" customWidth="1"/>
    <col min="7" max="10" width="12.140625" style="1" customWidth="1"/>
    <col min="11" max="16384" width="9.140625" style="1"/>
  </cols>
  <sheetData>
    <row r="1" spans="1:21" ht="15" customHeight="1" x14ac:dyDescent="0.2">
      <c r="A1" s="145" t="s">
        <v>0</v>
      </c>
      <c r="B1" s="145"/>
      <c r="C1" s="146" t="s">
        <v>1</v>
      </c>
      <c r="D1" s="147" t="s">
        <v>1</v>
      </c>
      <c r="E1" s="148" t="s">
        <v>1</v>
      </c>
      <c r="F1" s="147" t="s">
        <v>1</v>
      </c>
      <c r="G1" s="148" t="s">
        <v>1</v>
      </c>
      <c r="H1" s="148" t="s">
        <v>1</v>
      </c>
      <c r="I1" s="148" t="s">
        <v>1</v>
      </c>
      <c r="J1" s="148" t="s">
        <v>1</v>
      </c>
    </row>
    <row r="2" spans="1:21" ht="12.75" customHeight="1" x14ac:dyDescent="0.2">
      <c r="A2" s="149"/>
      <c r="B2" s="149" t="s">
        <v>2</v>
      </c>
      <c r="C2" s="150" t="s">
        <v>3</v>
      </c>
      <c r="D2" s="147">
        <v>2018</v>
      </c>
      <c r="E2" s="148">
        <v>2019</v>
      </c>
      <c r="F2" s="147">
        <v>2020</v>
      </c>
      <c r="G2" s="148">
        <v>2021</v>
      </c>
      <c r="H2" s="148">
        <v>2022</v>
      </c>
      <c r="I2" s="148">
        <v>2023</v>
      </c>
      <c r="J2" s="148">
        <v>2024</v>
      </c>
    </row>
    <row r="3" spans="1:21" x14ac:dyDescent="0.2">
      <c r="A3" s="151"/>
      <c r="B3" s="152"/>
      <c r="C3" s="153"/>
      <c r="D3" s="154"/>
      <c r="E3" s="155"/>
      <c r="F3" s="156"/>
      <c r="G3" s="155"/>
      <c r="H3" s="157"/>
      <c r="I3" s="157"/>
      <c r="J3" s="157"/>
      <c r="O3" s="21" t="s">
        <v>4</v>
      </c>
    </row>
    <row r="4" spans="1:21" x14ac:dyDescent="0.2">
      <c r="A4" s="158" t="s">
        <v>5</v>
      </c>
      <c r="B4" s="65"/>
      <c r="C4" s="66"/>
      <c r="D4" s="26"/>
      <c r="E4" s="159"/>
      <c r="F4" s="67"/>
      <c r="G4" s="68"/>
      <c r="H4" s="160"/>
      <c r="I4" s="160"/>
      <c r="J4" s="160"/>
      <c r="O4" s="20"/>
    </row>
    <row r="5" spans="1:21" ht="12" customHeight="1" x14ac:dyDescent="0.2">
      <c r="A5" s="23" t="s">
        <v>6</v>
      </c>
      <c r="B5" s="23" t="s">
        <v>7</v>
      </c>
      <c r="C5" s="161"/>
      <c r="D5" s="15"/>
      <c r="E5" s="162"/>
      <c r="F5" s="15"/>
      <c r="G5" s="9"/>
      <c r="H5" s="9"/>
      <c r="I5" s="9"/>
      <c r="J5" s="9"/>
      <c r="O5" s="20"/>
    </row>
    <row r="6" spans="1:21" s="32" customFormat="1" ht="12" customHeight="1" x14ac:dyDescent="0.2">
      <c r="A6" s="163" t="s">
        <v>8</v>
      </c>
      <c r="B6" s="163" t="s">
        <v>9</v>
      </c>
      <c r="C6" s="164">
        <v>-380000</v>
      </c>
      <c r="D6" s="165">
        <v>0</v>
      </c>
      <c r="F6" s="165">
        <v>-200000</v>
      </c>
      <c r="G6" s="165">
        <v>-180000</v>
      </c>
      <c r="H6" s="165"/>
      <c r="I6" s="165"/>
      <c r="J6" s="165"/>
      <c r="K6" s="32" t="s">
        <v>10</v>
      </c>
      <c r="P6" s="32" t="s">
        <v>11</v>
      </c>
    </row>
    <row r="7" spans="1:21" s="55" customFormat="1" ht="12" customHeight="1" x14ac:dyDescent="0.2">
      <c r="A7" s="166" t="s">
        <v>12</v>
      </c>
      <c r="B7" s="166" t="s">
        <v>9</v>
      </c>
      <c r="C7" s="167">
        <v>-586000</v>
      </c>
      <c r="D7" s="168">
        <v>-10000</v>
      </c>
      <c r="E7" s="168">
        <v>-10000</v>
      </c>
      <c r="F7" s="168">
        <v>-10000</v>
      </c>
      <c r="G7" s="168">
        <v>-10000</v>
      </c>
      <c r="H7" s="168">
        <v>-10000</v>
      </c>
      <c r="I7" s="168">
        <v>-10000</v>
      </c>
      <c r="J7" s="168">
        <v>-10000</v>
      </c>
      <c r="K7" s="55" t="s">
        <v>13</v>
      </c>
      <c r="L7" s="55" t="s">
        <v>14</v>
      </c>
      <c r="M7" s="55" t="s">
        <v>15</v>
      </c>
      <c r="O7" s="56"/>
    </row>
    <row r="8" spans="1:21" s="7" customFormat="1" ht="12" customHeight="1" x14ac:dyDescent="0.2">
      <c r="A8" s="104" t="s">
        <v>16</v>
      </c>
      <c r="B8" s="151"/>
      <c r="C8" s="169"/>
      <c r="D8" s="170">
        <f t="shared" ref="D8:J8" si="0">SUM(D5:D7)</f>
        <v>-10000</v>
      </c>
      <c r="E8" s="146">
        <f t="shared" si="0"/>
        <v>-10000</v>
      </c>
      <c r="F8" s="170">
        <f t="shared" si="0"/>
        <v>-210000</v>
      </c>
      <c r="G8" s="171">
        <f t="shared" si="0"/>
        <v>-190000</v>
      </c>
      <c r="H8" s="171">
        <f t="shared" si="0"/>
        <v>-10000</v>
      </c>
      <c r="I8" s="171">
        <f t="shared" si="0"/>
        <v>-10000</v>
      </c>
      <c r="J8" s="171">
        <f t="shared" si="0"/>
        <v>-10000</v>
      </c>
      <c r="O8" s="20"/>
      <c r="P8" s="7" t="s">
        <v>17</v>
      </c>
    </row>
    <row r="9" spans="1:21" x14ac:dyDescent="0.2">
      <c r="A9" s="6"/>
      <c r="B9" s="6"/>
      <c r="C9" s="12"/>
      <c r="D9" s="24"/>
      <c r="E9" s="5"/>
      <c r="F9" s="29"/>
      <c r="G9" s="5"/>
      <c r="H9" s="5"/>
      <c r="I9" s="5"/>
      <c r="J9" s="5"/>
      <c r="O9" s="20"/>
    </row>
    <row r="10" spans="1:21" x14ac:dyDescent="0.2">
      <c r="A10" s="151" t="s">
        <v>18</v>
      </c>
      <c r="B10" s="152"/>
      <c r="C10" s="172"/>
      <c r="D10" s="173"/>
      <c r="E10" s="174"/>
      <c r="F10" s="175"/>
      <c r="G10" s="174"/>
      <c r="H10" s="174"/>
      <c r="I10" s="174"/>
      <c r="J10" s="174"/>
      <c r="O10" s="20"/>
    </row>
    <row r="11" spans="1:21" s="36" customFormat="1" x14ac:dyDescent="0.2">
      <c r="A11" s="51" t="s">
        <v>19</v>
      </c>
      <c r="B11" s="52" t="s">
        <v>7</v>
      </c>
      <c r="C11" s="53"/>
      <c r="D11" s="37">
        <v>-100000</v>
      </c>
      <c r="E11" s="37">
        <f>-100000-390000</f>
        <v>-490000</v>
      </c>
      <c r="F11" s="37">
        <v>-500000</v>
      </c>
      <c r="G11" s="37">
        <v>-500000</v>
      </c>
      <c r="H11" s="37">
        <v>-100000</v>
      </c>
      <c r="I11" s="37">
        <v>-100000</v>
      </c>
      <c r="J11" s="37">
        <v>-100000</v>
      </c>
      <c r="P11" s="36" t="s">
        <v>20</v>
      </c>
    </row>
    <row r="12" spans="1:21" ht="12" customHeight="1" x14ac:dyDescent="0.2">
      <c r="A12" s="135" t="s">
        <v>21</v>
      </c>
      <c r="B12" s="135" t="s">
        <v>7</v>
      </c>
      <c r="C12" s="176"/>
      <c r="D12" s="177">
        <v>170000</v>
      </c>
      <c r="E12" s="159">
        <v>160000</v>
      </c>
      <c r="F12" s="177">
        <v>300000</v>
      </c>
      <c r="G12" s="159">
        <v>300000</v>
      </c>
      <c r="H12" s="159">
        <v>300000</v>
      </c>
      <c r="I12" s="159">
        <v>300000</v>
      </c>
      <c r="J12" s="159">
        <v>300000</v>
      </c>
      <c r="K12" s="1" t="s">
        <v>22</v>
      </c>
      <c r="O12" s="21"/>
    </row>
    <row r="13" spans="1:21" s="7" customFormat="1" x14ac:dyDescent="0.2">
      <c r="A13" s="2" t="s">
        <v>23</v>
      </c>
      <c r="B13" s="18"/>
      <c r="C13" s="10"/>
      <c r="D13" s="16">
        <f t="shared" ref="D13:E13" si="1">SUM(D11:D12)</f>
        <v>70000</v>
      </c>
      <c r="E13" s="8">
        <f t="shared" si="1"/>
        <v>-330000</v>
      </c>
      <c r="F13" s="16">
        <f>SUM(F11:F12)</f>
        <v>-200000</v>
      </c>
      <c r="G13" s="8">
        <f>SUM(G11:G12)</f>
        <v>-200000</v>
      </c>
      <c r="H13" s="8">
        <f>SUM(H11:H12)</f>
        <v>200000</v>
      </c>
      <c r="I13" s="8">
        <f>SUM(I11:I12)</f>
        <v>200000</v>
      </c>
      <c r="J13" s="8">
        <f>SUM(J11:J12)</f>
        <v>200000</v>
      </c>
      <c r="O13" s="20"/>
    </row>
    <row r="14" spans="1:21" x14ac:dyDescent="0.2">
      <c r="A14" s="178"/>
      <c r="B14" s="178"/>
      <c r="C14" s="179"/>
      <c r="D14" s="180"/>
      <c r="E14" s="181"/>
      <c r="F14" s="182"/>
      <c r="G14" s="181"/>
      <c r="H14" s="181"/>
      <c r="I14" s="181"/>
      <c r="J14" s="181"/>
      <c r="O14" s="20"/>
    </row>
    <row r="15" spans="1:21" x14ac:dyDescent="0.2">
      <c r="A15" s="151" t="s">
        <v>24</v>
      </c>
      <c r="B15" s="152"/>
      <c r="C15" s="172"/>
      <c r="D15" s="173"/>
      <c r="E15" s="174"/>
      <c r="F15" s="175"/>
      <c r="G15" s="174"/>
      <c r="H15" s="174"/>
      <c r="I15" s="174"/>
      <c r="J15" s="174"/>
      <c r="O15" s="20"/>
    </row>
    <row r="16" spans="1:21" ht="13.5" hidden="1" x14ac:dyDescent="0.2">
      <c r="A16" s="4" t="s">
        <v>25</v>
      </c>
      <c r="B16" s="19" t="s">
        <v>9</v>
      </c>
      <c r="C16" s="12">
        <f>-1885000-98000-120000</f>
        <v>-2103000</v>
      </c>
      <c r="D16" s="173">
        <f>-40000-582386-120000</f>
        <v>-742386</v>
      </c>
      <c r="E16" s="183"/>
      <c r="F16" s="173"/>
      <c r="G16" s="183"/>
      <c r="H16" s="183"/>
      <c r="I16" s="183"/>
      <c r="J16" s="183"/>
      <c r="O16" s="20"/>
      <c r="P16" s="1" t="s">
        <v>26</v>
      </c>
      <c r="S16" s="1">
        <v>1.55</v>
      </c>
      <c r="T16" s="1">
        <v>1.9830000000000001</v>
      </c>
      <c r="U16" s="1">
        <f>T16-S16</f>
        <v>0.43300000000000005</v>
      </c>
    </row>
    <row r="17" spans="1:16" ht="13.5" hidden="1" x14ac:dyDescent="0.2">
      <c r="A17" s="135" t="s">
        <v>27</v>
      </c>
      <c r="B17" s="135" t="s">
        <v>9</v>
      </c>
      <c r="C17" s="184">
        <f>943000+126550</f>
        <v>1069550</v>
      </c>
      <c r="D17" s="173">
        <f>20000+126550+260496</f>
        <v>407046</v>
      </c>
      <c r="E17" s="183"/>
      <c r="F17" s="173"/>
      <c r="G17" s="183"/>
      <c r="H17" s="183"/>
      <c r="I17" s="183"/>
      <c r="J17" s="183"/>
      <c r="O17" s="20"/>
      <c r="P17" s="1" t="s">
        <v>28</v>
      </c>
    </row>
    <row r="18" spans="1:16" ht="18" customHeight="1" x14ac:dyDescent="0.2">
      <c r="A18" s="4" t="s">
        <v>29</v>
      </c>
      <c r="B18" s="6"/>
      <c r="C18" s="176">
        <v>130000</v>
      </c>
      <c r="D18" s="185">
        <v>100000</v>
      </c>
      <c r="E18" s="159">
        <v>130000</v>
      </c>
      <c r="F18" s="420" t="s">
        <v>30</v>
      </c>
      <c r="G18" s="421"/>
      <c r="H18" s="186"/>
      <c r="I18" s="186"/>
      <c r="J18" s="186"/>
      <c r="K18" s="1" t="s">
        <v>31</v>
      </c>
      <c r="O18" s="20"/>
      <c r="P18" s="1" t="s">
        <v>32</v>
      </c>
    </row>
    <row r="19" spans="1:16" hidden="1" x14ac:dyDescent="0.2">
      <c r="A19" s="187" t="s">
        <v>33</v>
      </c>
      <c r="B19" s="188"/>
      <c r="C19" s="183">
        <v>-25000</v>
      </c>
      <c r="D19" s="185">
        <v>-25000</v>
      </c>
      <c r="E19" s="159"/>
      <c r="F19" s="185"/>
      <c r="G19" s="186"/>
      <c r="H19" s="186"/>
      <c r="I19" s="186"/>
      <c r="J19" s="186"/>
      <c r="O19" s="20"/>
    </row>
    <row r="20" spans="1:16" s="36" customFormat="1" x14ac:dyDescent="0.2">
      <c r="A20" s="189" t="s">
        <v>34</v>
      </c>
      <c r="B20" s="190"/>
      <c r="C20" s="191">
        <f>-80000-30000</f>
        <v>-110000</v>
      </c>
      <c r="D20" s="192">
        <v>-50000</v>
      </c>
      <c r="E20" s="193"/>
      <c r="F20" s="194">
        <v>-30000</v>
      </c>
      <c r="G20" s="194">
        <v>-30000</v>
      </c>
      <c r="H20" s="194"/>
      <c r="I20" s="194"/>
      <c r="J20" s="194"/>
      <c r="K20" s="36" t="s">
        <v>35</v>
      </c>
      <c r="P20" s="36" t="s">
        <v>36</v>
      </c>
    </row>
    <row r="21" spans="1:16" s="32" customFormat="1" hidden="1" x14ac:dyDescent="0.2">
      <c r="A21" s="195" t="s">
        <v>37</v>
      </c>
      <c r="B21" s="196"/>
      <c r="C21" s="197">
        <v>-20000</v>
      </c>
      <c r="D21" s="198">
        <v>-20000</v>
      </c>
      <c r="E21" s="199"/>
      <c r="F21" s="165"/>
      <c r="G21" s="198"/>
      <c r="H21" s="198"/>
      <c r="I21" s="198"/>
      <c r="J21" s="198"/>
    </row>
    <row r="22" spans="1:16" s="32" customFormat="1" ht="24" hidden="1" x14ac:dyDescent="0.2">
      <c r="A22" s="163" t="s">
        <v>38</v>
      </c>
      <c r="B22" s="196"/>
      <c r="C22" s="200">
        <v>-30000</v>
      </c>
      <c r="D22" s="198">
        <v>-30000</v>
      </c>
      <c r="E22" s="198"/>
      <c r="F22" s="198"/>
      <c r="G22" s="198"/>
      <c r="H22" s="198"/>
      <c r="I22" s="198"/>
      <c r="J22" s="198"/>
    </row>
    <row r="23" spans="1:16" s="32" customFormat="1" hidden="1" x14ac:dyDescent="0.2">
      <c r="A23" s="163" t="s">
        <v>39</v>
      </c>
      <c r="B23" s="196"/>
      <c r="C23" s="200">
        <v>-15000</v>
      </c>
      <c r="D23" s="198">
        <v>-15000</v>
      </c>
      <c r="E23" s="198"/>
      <c r="F23" s="198"/>
      <c r="G23" s="198"/>
      <c r="H23" s="198"/>
      <c r="I23" s="198"/>
      <c r="J23" s="198"/>
    </row>
    <row r="24" spans="1:16" s="32" customFormat="1" hidden="1" x14ac:dyDescent="0.2">
      <c r="A24" s="163" t="s">
        <v>40</v>
      </c>
      <c r="B24" s="196"/>
      <c r="C24" s="200"/>
      <c r="D24" s="198"/>
      <c r="E24" s="198"/>
      <c r="F24" s="198"/>
      <c r="G24" s="198"/>
      <c r="H24" s="198"/>
      <c r="I24" s="198"/>
      <c r="J24" s="198"/>
      <c r="P24" s="32" t="s">
        <v>41</v>
      </c>
    </row>
    <row r="25" spans="1:16" s="36" customFormat="1" x14ac:dyDescent="0.2">
      <c r="A25" s="189" t="s">
        <v>42</v>
      </c>
      <c r="B25" s="201"/>
      <c r="C25" s="202">
        <v>-30000</v>
      </c>
      <c r="D25" s="194"/>
      <c r="E25" s="194"/>
      <c r="F25" s="194">
        <v>-15000</v>
      </c>
      <c r="G25" s="194">
        <v>-15000</v>
      </c>
      <c r="H25" s="194"/>
      <c r="I25" s="194"/>
      <c r="J25" s="194"/>
      <c r="K25" s="36" t="s">
        <v>43</v>
      </c>
      <c r="L25" s="36" t="s">
        <v>44</v>
      </c>
    </row>
    <row r="26" spans="1:16" s="32" customFormat="1" x14ac:dyDescent="0.2">
      <c r="A26" s="163" t="s">
        <v>45</v>
      </c>
      <c r="B26" s="196"/>
      <c r="C26" s="200">
        <v>-45000</v>
      </c>
      <c r="D26" s="198"/>
      <c r="E26" s="198"/>
      <c r="F26" s="198">
        <v>-45000</v>
      </c>
      <c r="G26" s="198"/>
      <c r="H26" s="198"/>
      <c r="I26" s="198"/>
      <c r="J26" s="198"/>
      <c r="K26" s="32" t="s">
        <v>46</v>
      </c>
    </row>
    <row r="27" spans="1:16" s="7" customFormat="1" x14ac:dyDescent="0.2">
      <c r="A27" s="149" t="s">
        <v>47</v>
      </c>
      <c r="B27" s="203"/>
      <c r="C27" s="204"/>
      <c r="D27" s="205">
        <f>SUM(D16:D23)</f>
        <v>-375340</v>
      </c>
      <c r="E27" s="206">
        <f>SUM(E18:E26)</f>
        <v>130000</v>
      </c>
      <c r="F27" s="205">
        <f t="shared" ref="F27:J27" si="2">SUM(F18:F26)</f>
        <v>-90000</v>
      </c>
      <c r="G27" s="206">
        <f t="shared" si="2"/>
        <v>-45000</v>
      </c>
      <c r="H27" s="206">
        <f t="shared" si="2"/>
        <v>0</v>
      </c>
      <c r="I27" s="206">
        <f t="shared" si="2"/>
        <v>0</v>
      </c>
      <c r="J27" s="206">
        <f t="shared" si="2"/>
        <v>0</v>
      </c>
      <c r="O27" s="20"/>
    </row>
    <row r="28" spans="1:16" ht="12.75" customHeight="1" x14ac:dyDescent="0.2">
      <c r="A28" s="3"/>
      <c r="B28" s="3"/>
      <c r="C28" s="11"/>
      <c r="D28" s="24"/>
      <c r="E28" s="5"/>
      <c r="F28" s="29"/>
      <c r="G28" s="5"/>
      <c r="H28" s="5"/>
      <c r="I28" s="5"/>
      <c r="J28" s="5"/>
      <c r="O28" s="20"/>
    </row>
    <row r="29" spans="1:16" x14ac:dyDescent="0.2">
      <c r="A29" s="151" t="s">
        <v>48</v>
      </c>
      <c r="B29" s="152"/>
      <c r="C29" s="172"/>
      <c r="D29" s="173"/>
      <c r="E29" s="174"/>
      <c r="F29" s="175"/>
      <c r="G29" s="174"/>
      <c r="H29" s="174"/>
      <c r="I29" s="174"/>
      <c r="J29" s="174"/>
      <c r="O29" s="20"/>
    </row>
    <row r="30" spans="1:16" s="31" customFormat="1" x14ac:dyDescent="0.2">
      <c r="A30" s="207" t="s">
        <v>49</v>
      </c>
      <c r="B30" s="207"/>
      <c r="C30" s="208">
        <v>-85000</v>
      </c>
      <c r="D30" s="209">
        <v>-45000</v>
      </c>
      <c r="E30" s="34">
        <v>-40000</v>
      </c>
      <c r="F30" s="209">
        <v>20000</v>
      </c>
      <c r="G30" s="209"/>
      <c r="H30" s="209"/>
      <c r="I30" s="209"/>
      <c r="J30" s="209"/>
      <c r="K30" s="32" t="s">
        <v>50</v>
      </c>
      <c r="L30" s="31" t="s">
        <v>51</v>
      </c>
    </row>
    <row r="31" spans="1:16" s="31" customFormat="1" ht="12" customHeight="1" x14ac:dyDescent="0.2">
      <c r="A31" s="207" t="s">
        <v>52</v>
      </c>
      <c r="B31" s="210"/>
      <c r="C31" s="211">
        <v>-60000</v>
      </c>
      <c r="D31" s="209"/>
      <c r="E31" s="34">
        <v>-60000</v>
      </c>
      <c r="F31" s="209">
        <v>30000</v>
      </c>
      <c r="G31" s="209"/>
      <c r="H31" s="209"/>
      <c r="I31" s="209"/>
      <c r="J31" s="209"/>
      <c r="K31" s="32" t="s">
        <v>50</v>
      </c>
      <c r="L31" s="31" t="s">
        <v>53</v>
      </c>
    </row>
    <row r="32" spans="1:16" s="31" customFormat="1" ht="12" customHeight="1" x14ac:dyDescent="0.2">
      <c r="A32" s="212" t="s">
        <v>54</v>
      </c>
      <c r="B32" s="213" t="s">
        <v>55</v>
      </c>
      <c r="C32" s="214">
        <v>-300000</v>
      </c>
      <c r="D32" s="215">
        <f>-100000+60000</f>
        <v>-40000</v>
      </c>
      <c r="E32" s="216">
        <f>-60000-40000</f>
        <v>-100000</v>
      </c>
      <c r="F32" s="216"/>
      <c r="G32" s="216">
        <v>-200000</v>
      </c>
      <c r="H32" s="217"/>
      <c r="I32" s="217"/>
      <c r="J32" s="217"/>
      <c r="K32" s="31" t="s">
        <v>56</v>
      </c>
      <c r="P32" s="31" t="s">
        <v>57</v>
      </c>
    </row>
    <row r="33" spans="1:19" s="31" customFormat="1" ht="12" customHeight="1" x14ac:dyDescent="0.2">
      <c r="A33" s="212" t="s">
        <v>58</v>
      </c>
      <c r="B33" s="213" t="s">
        <v>55</v>
      </c>
      <c r="C33" s="214">
        <v>-300000</v>
      </c>
      <c r="D33" s="218">
        <f>-100000+60000</f>
        <v>-40000</v>
      </c>
      <c r="E33" s="35">
        <f>-60000-40000</f>
        <v>-100000</v>
      </c>
      <c r="F33" s="35"/>
      <c r="G33" s="35">
        <v>-200000</v>
      </c>
      <c r="H33" s="216"/>
      <c r="I33" s="216"/>
      <c r="J33" s="35"/>
      <c r="K33" s="31" t="s">
        <v>56</v>
      </c>
      <c r="P33" s="31" t="s">
        <v>57</v>
      </c>
    </row>
    <row r="34" spans="1:19" s="32" customFormat="1" ht="12.75" customHeight="1" x14ac:dyDescent="0.2">
      <c r="A34" s="219" t="s">
        <v>59</v>
      </c>
      <c r="B34" s="196" t="s">
        <v>7</v>
      </c>
      <c r="C34" s="200">
        <v>-620000</v>
      </c>
      <c r="D34" s="199">
        <v>-10000</v>
      </c>
      <c r="E34" s="195"/>
      <c r="F34" s="195"/>
      <c r="G34" s="195"/>
      <c r="H34" s="198">
        <f>-600000+400000</f>
        <v>-200000</v>
      </c>
      <c r="I34" s="199">
        <v>-300000</v>
      </c>
      <c r="J34" s="165">
        <v>-100000</v>
      </c>
      <c r="K34" s="32" t="s">
        <v>60</v>
      </c>
      <c r="P34" s="32" t="s">
        <v>61</v>
      </c>
    </row>
    <row r="35" spans="1:19" s="32" customFormat="1" x14ac:dyDescent="0.2">
      <c r="A35" s="219" t="s">
        <v>62</v>
      </c>
      <c r="B35" s="196"/>
      <c r="C35" s="200">
        <f>-120000-20000</f>
        <v>-140000</v>
      </c>
      <c r="D35" s="199">
        <v>-10000</v>
      </c>
      <c r="E35" s="165">
        <f>-60000+40000</f>
        <v>-20000</v>
      </c>
      <c r="F35" s="165">
        <f>-70000-40000</f>
        <v>-110000</v>
      </c>
      <c r="G35" s="165"/>
      <c r="H35" s="38"/>
      <c r="I35" s="199"/>
      <c r="J35" s="165"/>
      <c r="K35" s="39" t="s">
        <v>63</v>
      </c>
      <c r="L35" s="32" t="s">
        <v>64</v>
      </c>
      <c r="P35" s="32" t="s">
        <v>65</v>
      </c>
    </row>
    <row r="36" spans="1:19" s="32" customFormat="1" ht="25.5" customHeight="1" x14ac:dyDescent="0.2">
      <c r="A36" s="219" t="s">
        <v>66</v>
      </c>
      <c r="B36" s="196" t="s">
        <v>7</v>
      </c>
      <c r="C36" s="200">
        <v>-400000</v>
      </c>
      <c r="D36" s="198"/>
      <c r="E36" s="198">
        <f>-40000+40000</f>
        <v>0</v>
      </c>
      <c r="F36" s="220">
        <v>-40000</v>
      </c>
      <c r="G36" s="40"/>
      <c r="H36" s="221"/>
      <c r="I36" s="198"/>
      <c r="J36" s="198"/>
      <c r="K36" s="32" t="s">
        <v>67</v>
      </c>
      <c r="L36" s="32" t="s">
        <v>68</v>
      </c>
      <c r="P36" s="32" t="s">
        <v>69</v>
      </c>
    </row>
    <row r="37" spans="1:19" s="32" customFormat="1" ht="12" customHeight="1" x14ac:dyDescent="0.2">
      <c r="A37" s="222" t="s">
        <v>70</v>
      </c>
      <c r="B37" s="196"/>
      <c r="C37" s="200">
        <v>-300000</v>
      </c>
      <c r="D37" s="198"/>
      <c r="E37" s="199"/>
      <c r="F37" s="223"/>
      <c r="G37" s="165"/>
      <c r="H37" s="38">
        <v>-100000</v>
      </c>
      <c r="I37" s="38">
        <v>-100000</v>
      </c>
      <c r="J37" s="198">
        <v>-100000</v>
      </c>
      <c r="K37" s="32" t="s">
        <v>71</v>
      </c>
    </row>
    <row r="38" spans="1:19" s="33" customFormat="1" ht="12" customHeight="1" x14ac:dyDescent="0.2">
      <c r="A38" s="41" t="s">
        <v>72</v>
      </c>
      <c r="B38" s="224"/>
      <c r="C38" s="225">
        <v>-800000</v>
      </c>
      <c r="D38" s="226"/>
      <c r="E38" s="226">
        <f>-200000+200000</f>
        <v>0</v>
      </c>
      <c r="F38" s="226">
        <v>-500000</v>
      </c>
      <c r="G38" s="227">
        <v>-500000</v>
      </c>
      <c r="H38" s="228"/>
      <c r="I38" s="229"/>
      <c r="J38" s="226">
        <v>-250000</v>
      </c>
      <c r="K38" s="33" t="s">
        <v>73</v>
      </c>
      <c r="P38" s="33" t="s">
        <v>74</v>
      </c>
      <c r="S38" s="33" t="s">
        <v>75</v>
      </c>
    </row>
    <row r="39" spans="1:19" s="32" customFormat="1" ht="12" customHeight="1" x14ac:dyDescent="0.2">
      <c r="A39" s="163" t="s">
        <v>76</v>
      </c>
      <c r="B39" s="196"/>
      <c r="C39" s="200">
        <v>-310000</v>
      </c>
      <c r="D39" s="198">
        <f>-10000+10000</f>
        <v>0</v>
      </c>
      <c r="E39" s="198">
        <v>-10000</v>
      </c>
      <c r="F39" s="198">
        <f>-150000+50000</f>
        <v>-100000</v>
      </c>
      <c r="G39" s="199">
        <v>-100000</v>
      </c>
      <c r="H39" s="165">
        <v>-100000</v>
      </c>
      <c r="I39" s="165"/>
      <c r="J39" s="198"/>
      <c r="K39" s="32" t="s">
        <v>77</v>
      </c>
      <c r="P39" s="32" t="s">
        <v>78</v>
      </c>
    </row>
    <row r="40" spans="1:19" s="32" customFormat="1" x14ac:dyDescent="0.2">
      <c r="A40" s="163" t="s">
        <v>79</v>
      </c>
      <c r="B40" s="196"/>
      <c r="C40" s="200">
        <v>-200000</v>
      </c>
      <c r="D40" s="198"/>
      <c r="E40" s="198"/>
      <c r="F40" s="198">
        <v>-100000</v>
      </c>
      <c r="G40" s="199">
        <v>-100000</v>
      </c>
      <c r="H40" s="165"/>
      <c r="I40" s="165"/>
      <c r="J40" s="198"/>
      <c r="K40" s="32" t="s">
        <v>80</v>
      </c>
    </row>
    <row r="41" spans="1:19" s="36" customFormat="1" ht="12" customHeight="1" x14ac:dyDescent="0.2">
      <c r="A41" s="230" t="s">
        <v>81</v>
      </c>
      <c r="B41" s="201" t="s">
        <v>55</v>
      </c>
      <c r="C41" s="202"/>
      <c r="D41" s="194">
        <v>-30000</v>
      </c>
      <c r="E41" s="194">
        <v>-30000</v>
      </c>
      <c r="F41" s="194">
        <v>-30000</v>
      </c>
      <c r="G41" s="37">
        <v>-30000</v>
      </c>
      <c r="H41" s="37">
        <v>-30000</v>
      </c>
      <c r="I41" s="37">
        <v>-30000</v>
      </c>
      <c r="J41" s="194">
        <v>-30000</v>
      </c>
    </row>
    <row r="42" spans="1:19" s="32" customFormat="1" ht="12" customHeight="1" x14ac:dyDescent="0.2">
      <c r="A42" s="163" t="s">
        <v>82</v>
      </c>
      <c r="B42" s="42"/>
      <c r="C42" s="200">
        <v>-300000</v>
      </c>
      <c r="D42" s="198"/>
      <c r="E42" s="198"/>
      <c r="F42" s="43"/>
      <c r="G42" s="195"/>
      <c r="H42" s="195"/>
      <c r="I42" s="165">
        <v>-150000</v>
      </c>
      <c r="J42" s="198">
        <v>-150000</v>
      </c>
      <c r="K42" s="32" t="s">
        <v>83</v>
      </c>
    </row>
    <row r="43" spans="1:19" s="32" customFormat="1" ht="12" customHeight="1" x14ac:dyDescent="0.2">
      <c r="A43" s="195" t="s">
        <v>84</v>
      </c>
      <c r="B43" s="42"/>
      <c r="C43" s="200">
        <v>-500000</v>
      </c>
      <c r="D43" s="198"/>
      <c r="E43" s="199"/>
      <c r="F43" s="195"/>
      <c r="G43" s="195"/>
      <c r="H43" s="195"/>
      <c r="I43" s="165">
        <f>-200000+100000</f>
        <v>-100000</v>
      </c>
      <c r="J43" s="221">
        <v>-200000</v>
      </c>
      <c r="K43" s="198">
        <v>-100000</v>
      </c>
      <c r="L43" s="198">
        <v>-100000</v>
      </c>
      <c r="M43" s="32" t="s">
        <v>85</v>
      </c>
      <c r="P43" s="32" t="s">
        <v>86</v>
      </c>
    </row>
    <row r="44" spans="1:19" s="32" customFormat="1" ht="12" customHeight="1" x14ac:dyDescent="0.2">
      <c r="A44" s="231" t="s">
        <v>87</v>
      </c>
      <c r="B44" s="42"/>
      <c r="C44" s="54">
        <v>-120000</v>
      </c>
      <c r="D44" s="38"/>
      <c r="E44" s="38">
        <f>-120000+100000</f>
        <v>-20000</v>
      </c>
      <c r="F44" s="43">
        <v>-50000</v>
      </c>
      <c r="G44" s="165"/>
      <c r="H44" s="165">
        <v>-50000</v>
      </c>
      <c r="I44" s="165"/>
      <c r="J44" s="221"/>
      <c r="K44" s="32" t="s">
        <v>88</v>
      </c>
      <c r="P44" s="32" t="s">
        <v>89</v>
      </c>
    </row>
    <row r="45" spans="1:19" s="36" customFormat="1" ht="12" customHeight="1" x14ac:dyDescent="0.2">
      <c r="A45" s="230" t="s">
        <v>90</v>
      </c>
      <c r="B45" s="189"/>
      <c r="C45" s="191">
        <v>-50000</v>
      </c>
      <c r="D45" s="193"/>
      <c r="E45" s="193">
        <v>-20000</v>
      </c>
      <c r="F45" s="193">
        <f>-50000+20000</f>
        <v>-30000</v>
      </c>
      <c r="G45" s="193"/>
      <c r="H45" s="193"/>
      <c r="I45" s="193"/>
      <c r="J45" s="192"/>
      <c r="K45" s="36" t="s">
        <v>91</v>
      </c>
    </row>
    <row r="46" spans="1:19" s="32" customFormat="1" ht="12" customHeight="1" x14ac:dyDescent="0.2">
      <c r="A46" s="163" t="s">
        <v>92</v>
      </c>
      <c r="B46" s="163"/>
      <c r="C46" s="164">
        <v>-40000</v>
      </c>
      <c r="D46" s="165"/>
      <c r="E46" s="165">
        <v>-20000</v>
      </c>
      <c r="F46" s="165">
        <v>-20000</v>
      </c>
      <c r="G46" s="165">
        <v>-20000</v>
      </c>
      <c r="H46" s="165">
        <v>-20000</v>
      </c>
      <c r="I46" s="165">
        <v>-20000</v>
      </c>
      <c r="J46" s="165">
        <v>-20000</v>
      </c>
      <c r="K46" s="32" t="s">
        <v>93</v>
      </c>
    </row>
    <row r="47" spans="1:19" s="32" customFormat="1" ht="12" customHeight="1" x14ac:dyDescent="0.2">
      <c r="A47" s="48" t="s">
        <v>94</v>
      </c>
      <c r="B47" s="48"/>
      <c r="C47" s="49">
        <v>-80000</v>
      </c>
      <c r="D47" s="50"/>
      <c r="E47" s="198">
        <v>-30000</v>
      </c>
      <c r="F47" s="50">
        <v>-30000</v>
      </c>
      <c r="G47" s="50">
        <v>-20000</v>
      </c>
      <c r="H47" s="165"/>
      <c r="I47" s="165"/>
      <c r="J47" s="165"/>
      <c r="P47" s="32" t="s">
        <v>95</v>
      </c>
    </row>
    <row r="48" spans="1:19" s="31" customFormat="1" ht="12" customHeight="1" x14ac:dyDescent="0.2">
      <c r="A48" s="207" t="s">
        <v>96</v>
      </c>
      <c r="B48" s="213"/>
      <c r="C48" s="214"/>
      <c r="D48" s="216"/>
      <c r="E48" s="216">
        <v>-30000</v>
      </c>
      <c r="F48" s="216"/>
      <c r="G48" s="216"/>
      <c r="H48" s="209"/>
      <c r="I48" s="209"/>
      <c r="J48" s="209"/>
      <c r="K48" s="31" t="s">
        <v>97</v>
      </c>
    </row>
    <row r="49" spans="1:16" s="31" customFormat="1" ht="12" customHeight="1" x14ac:dyDescent="0.2">
      <c r="A49" s="212" t="s">
        <v>98</v>
      </c>
      <c r="B49" s="213" t="s">
        <v>55</v>
      </c>
      <c r="C49" s="214"/>
      <c r="D49" s="216">
        <v>-20000</v>
      </c>
      <c r="E49" s="209">
        <v>-20000</v>
      </c>
      <c r="F49" s="216">
        <v>-20000</v>
      </c>
      <c r="G49" s="216">
        <v>-20000</v>
      </c>
      <c r="H49" s="209">
        <v>-20000</v>
      </c>
      <c r="I49" s="209">
        <v>-20000</v>
      </c>
      <c r="J49" s="209">
        <v>-20000</v>
      </c>
      <c r="K49" s="31" t="s">
        <v>99</v>
      </c>
    </row>
    <row r="50" spans="1:16" s="32" customFormat="1" ht="12" customHeight="1" x14ac:dyDescent="0.2">
      <c r="A50" s="163" t="s">
        <v>100</v>
      </c>
      <c r="B50" s="163"/>
      <c r="C50" s="164">
        <v>-10000</v>
      </c>
      <c r="D50" s="165"/>
      <c r="E50" s="198">
        <v>-10000</v>
      </c>
      <c r="F50" s="232"/>
      <c r="G50" s="165"/>
      <c r="H50" s="165"/>
      <c r="I50" s="165"/>
      <c r="J50" s="165"/>
      <c r="K50" s="32" t="s">
        <v>101</v>
      </c>
    </row>
    <row r="51" spans="1:16" s="32" customFormat="1" ht="12" customHeight="1" x14ac:dyDescent="0.2">
      <c r="A51" s="163" t="s">
        <v>102</v>
      </c>
      <c r="B51" s="163"/>
      <c r="C51" s="164">
        <v>-20000</v>
      </c>
      <c r="D51" s="165"/>
      <c r="E51" s="198">
        <f>-20000+10000</f>
        <v>-10000</v>
      </c>
      <c r="F51" s="198">
        <v>-10000</v>
      </c>
      <c r="G51" s="165"/>
      <c r="H51" s="165"/>
      <c r="I51" s="165"/>
      <c r="J51" s="165"/>
      <c r="K51" s="32" t="s">
        <v>101</v>
      </c>
    </row>
    <row r="52" spans="1:16" s="31" customFormat="1" ht="12" customHeight="1" x14ac:dyDescent="0.2">
      <c r="A52" s="207" t="s">
        <v>103</v>
      </c>
      <c r="B52" s="207" t="s">
        <v>9</v>
      </c>
      <c r="C52" s="208"/>
      <c r="D52" s="209">
        <v>-40000</v>
      </c>
      <c r="E52" s="216">
        <v>-50000</v>
      </c>
      <c r="F52" s="209">
        <v>-50000</v>
      </c>
      <c r="G52" s="209">
        <v>-50000</v>
      </c>
      <c r="H52" s="209">
        <v>-50000</v>
      </c>
      <c r="I52" s="209">
        <v>-50000</v>
      </c>
      <c r="J52" s="209">
        <v>-50000</v>
      </c>
      <c r="K52" s="31" t="s">
        <v>104</v>
      </c>
    </row>
    <row r="53" spans="1:16" s="31" customFormat="1" ht="12" customHeight="1" x14ac:dyDescent="0.2">
      <c r="A53" s="44" t="s">
        <v>105</v>
      </c>
      <c r="B53" s="45"/>
      <c r="C53" s="46">
        <v>-30000</v>
      </c>
      <c r="D53" s="233"/>
      <c r="E53" s="234">
        <v>-30000</v>
      </c>
      <c r="F53" s="35"/>
      <c r="G53" s="215"/>
      <c r="H53" s="34"/>
      <c r="I53" s="34"/>
      <c r="J53" s="34"/>
      <c r="K53" s="47" t="s">
        <v>106</v>
      </c>
    </row>
    <row r="54" spans="1:16" s="32" customFormat="1" ht="12" customHeight="1" x14ac:dyDescent="0.2">
      <c r="A54" s="40" t="s">
        <v>107</v>
      </c>
      <c r="B54" s="48"/>
      <c r="C54" s="49">
        <v>-10000</v>
      </c>
      <c r="D54" s="220"/>
      <c r="E54" s="235">
        <v>0</v>
      </c>
      <c r="F54" s="195"/>
      <c r="G54" s="38">
        <v>-10000</v>
      </c>
      <c r="H54" s="165"/>
      <c r="I54" s="165"/>
      <c r="J54" s="165"/>
      <c r="K54" s="32" t="s">
        <v>108</v>
      </c>
      <c r="L54" s="32" t="s">
        <v>109</v>
      </c>
      <c r="M54" s="39" t="s">
        <v>110</v>
      </c>
      <c r="P54" s="32" t="s">
        <v>78</v>
      </c>
    </row>
    <row r="55" spans="1:16" s="31" customFormat="1" ht="12" customHeight="1" x14ac:dyDescent="0.2">
      <c r="A55" s="207" t="s">
        <v>111</v>
      </c>
      <c r="B55" s="45"/>
      <c r="C55" s="208">
        <v>-13000</v>
      </c>
      <c r="D55" s="209">
        <f>-12000+12000</f>
        <v>0</v>
      </c>
      <c r="E55" s="216">
        <v>-3000</v>
      </c>
      <c r="F55" s="209">
        <v>-10000</v>
      </c>
      <c r="G55" s="209"/>
      <c r="H55" s="209"/>
      <c r="I55" s="209"/>
      <c r="J55" s="209"/>
      <c r="K55" s="31" t="s">
        <v>112</v>
      </c>
      <c r="L55" s="31" t="s">
        <v>113</v>
      </c>
      <c r="M55" s="31" t="s">
        <v>114</v>
      </c>
    </row>
    <row r="56" spans="1:16" s="32" customFormat="1" ht="12" customHeight="1" x14ac:dyDescent="0.2">
      <c r="A56" s="163" t="s">
        <v>115</v>
      </c>
      <c r="B56" s="48"/>
      <c r="C56" s="164">
        <v>-35000</v>
      </c>
      <c r="D56" s="165">
        <v>-10000</v>
      </c>
      <c r="E56" s="198">
        <v>-25000</v>
      </c>
      <c r="F56" s="165"/>
      <c r="G56" s="165"/>
      <c r="H56" s="165"/>
      <c r="I56" s="165"/>
      <c r="J56" s="165"/>
    </row>
    <row r="57" spans="1:16" s="32" customFormat="1" ht="12" customHeight="1" x14ac:dyDescent="0.2">
      <c r="A57" s="163" t="s">
        <v>116</v>
      </c>
      <c r="B57" s="48"/>
      <c r="C57" s="164">
        <v>-10000</v>
      </c>
      <c r="D57" s="165"/>
      <c r="E57" s="198">
        <v>-10000</v>
      </c>
      <c r="F57" s="165"/>
      <c r="G57" s="165"/>
      <c r="H57" s="165"/>
      <c r="I57" s="165"/>
      <c r="J57" s="165"/>
      <c r="K57" s="32" t="s">
        <v>117</v>
      </c>
    </row>
    <row r="58" spans="1:16" s="7" customFormat="1" ht="12" customHeight="1" x14ac:dyDescent="0.2">
      <c r="A58" s="149" t="s">
        <v>118</v>
      </c>
      <c r="B58" s="22"/>
      <c r="C58" s="236"/>
      <c r="D58" s="170">
        <f>SUM(D32:D55)</f>
        <v>-190000</v>
      </c>
      <c r="E58" s="146">
        <f>SUM(E30:E57)</f>
        <v>-638000</v>
      </c>
      <c r="F58" s="170">
        <f>SUM(F30:F57)</f>
        <v>-1050000</v>
      </c>
      <c r="G58" s="171">
        <f>SUM(G30:G57)</f>
        <v>-1250000</v>
      </c>
      <c r="H58" s="171">
        <f>SUM(H32:H55)</f>
        <v>-570000</v>
      </c>
      <c r="I58" s="171">
        <f>SUM(I32:I55)</f>
        <v>-770000</v>
      </c>
      <c r="J58" s="171">
        <f>SUM(J32:J55)</f>
        <v>-920000</v>
      </c>
      <c r="O58" s="21"/>
    </row>
    <row r="59" spans="1:16" s="7" customFormat="1" x14ac:dyDescent="0.2">
      <c r="A59" s="3"/>
      <c r="B59" s="3"/>
      <c r="C59" s="11"/>
      <c r="D59" s="25"/>
      <c r="E59" s="17"/>
      <c r="F59" s="30"/>
      <c r="G59" s="17"/>
      <c r="H59" s="17"/>
      <c r="I59" s="17"/>
      <c r="J59" s="17"/>
      <c r="O59" s="21"/>
    </row>
    <row r="60" spans="1:16" s="7" customFormat="1" x14ac:dyDescent="0.2">
      <c r="A60" s="151" t="s">
        <v>119</v>
      </c>
      <c r="B60" s="152"/>
      <c r="C60" s="172"/>
      <c r="D60" s="170"/>
      <c r="E60" s="146"/>
      <c r="F60" s="237"/>
      <c r="G60" s="238"/>
      <c r="H60" s="238"/>
      <c r="I60" s="238"/>
      <c r="J60" s="238"/>
      <c r="O60" s="20"/>
    </row>
    <row r="61" spans="1:16" s="7" customFormat="1" x14ac:dyDescent="0.2">
      <c r="A61" s="135"/>
      <c r="B61" s="135" t="s">
        <v>9</v>
      </c>
      <c r="C61" s="176"/>
      <c r="D61" s="177"/>
      <c r="E61" s="159"/>
      <c r="F61" s="170"/>
      <c r="G61" s="146"/>
      <c r="H61" s="146"/>
      <c r="I61" s="146"/>
      <c r="J61" s="146"/>
      <c r="O61" s="21"/>
    </row>
    <row r="62" spans="1:16" s="7" customFormat="1" x14ac:dyDescent="0.2">
      <c r="A62" s="149" t="s">
        <v>120</v>
      </c>
      <c r="B62" s="149"/>
      <c r="C62" s="236"/>
      <c r="D62" s="170">
        <f t="shared" ref="D62:G62" si="3">SUM(D61)</f>
        <v>0</v>
      </c>
      <c r="E62" s="146">
        <f t="shared" si="3"/>
        <v>0</v>
      </c>
      <c r="F62" s="170">
        <f t="shared" si="3"/>
        <v>0</v>
      </c>
      <c r="G62" s="171">
        <f t="shared" si="3"/>
        <v>0</v>
      </c>
      <c r="H62" s="171">
        <f t="shared" ref="H62" si="4">SUM(H61)</f>
        <v>0</v>
      </c>
      <c r="I62" s="171">
        <f t="shared" ref="I62" si="5">SUM(I61)</f>
        <v>0</v>
      </c>
      <c r="J62" s="171">
        <f t="shared" ref="J62" si="6">SUM(J61)</f>
        <v>0</v>
      </c>
      <c r="O62" s="21"/>
    </row>
    <row r="63" spans="1:16" s="7" customFormat="1" x14ac:dyDescent="0.2">
      <c r="A63" s="151"/>
      <c r="B63" s="152"/>
      <c r="C63" s="239"/>
      <c r="D63" s="240"/>
      <c r="E63" s="241"/>
      <c r="F63" s="237"/>
      <c r="G63" s="242"/>
      <c r="H63" s="242"/>
      <c r="I63" s="242"/>
      <c r="J63" s="242"/>
      <c r="O63" s="21"/>
    </row>
    <row r="64" spans="1:16" s="7" customFormat="1" x14ac:dyDescent="0.2">
      <c r="A64" s="151" t="s">
        <v>121</v>
      </c>
      <c r="B64" s="152"/>
      <c r="C64" s="172"/>
      <c r="D64" s="237"/>
      <c r="E64" s="146"/>
      <c r="F64" s="237"/>
      <c r="G64" s="242"/>
      <c r="H64" s="242"/>
      <c r="I64" s="242"/>
      <c r="J64" s="242"/>
      <c r="O64" s="20"/>
    </row>
    <row r="65" spans="1:15" s="7" customFormat="1" ht="12" customHeight="1" x14ac:dyDescent="0.2">
      <c r="A65" s="135" t="s">
        <v>122</v>
      </c>
      <c r="B65" s="135" t="s">
        <v>55</v>
      </c>
      <c r="C65" s="28">
        <v>-120980</v>
      </c>
      <c r="D65" s="177">
        <v>-24196</v>
      </c>
      <c r="E65" s="159">
        <v>-60490</v>
      </c>
      <c r="F65" s="177">
        <v>-36294</v>
      </c>
      <c r="G65" s="171"/>
      <c r="H65" s="171"/>
      <c r="I65" s="171"/>
      <c r="J65" s="171"/>
      <c r="O65" s="21"/>
    </row>
    <row r="66" spans="1:15" s="7" customFormat="1" x14ac:dyDescent="0.2">
      <c r="A66" s="149" t="s">
        <v>123</v>
      </c>
      <c r="B66" s="149"/>
      <c r="C66" s="236"/>
      <c r="D66" s="170">
        <f t="shared" ref="D66:G66" si="7">SUM(D65)</f>
        <v>-24196</v>
      </c>
      <c r="E66" s="146">
        <f t="shared" si="7"/>
        <v>-60490</v>
      </c>
      <c r="F66" s="170">
        <f t="shared" si="7"/>
        <v>-36294</v>
      </c>
      <c r="G66" s="171">
        <f t="shared" si="7"/>
        <v>0</v>
      </c>
      <c r="H66" s="171">
        <f t="shared" ref="H66" si="8">SUM(H65)</f>
        <v>0</v>
      </c>
      <c r="I66" s="171">
        <f t="shared" ref="I66" si="9">SUM(I65)</f>
        <v>0</v>
      </c>
      <c r="J66" s="171">
        <f t="shared" ref="J66" si="10">SUM(J65)</f>
        <v>0</v>
      </c>
      <c r="O66" s="20"/>
    </row>
    <row r="67" spans="1:15" x14ac:dyDescent="0.2">
      <c r="A67" s="3"/>
      <c r="B67" s="3"/>
      <c r="C67" s="11"/>
      <c r="D67" s="24"/>
      <c r="E67" s="5"/>
      <c r="F67" s="29"/>
      <c r="G67" s="5"/>
      <c r="H67" s="5"/>
      <c r="I67" s="5"/>
      <c r="J67" s="5"/>
    </row>
    <row r="68" spans="1:15" s="7" customFormat="1" x14ac:dyDescent="0.2">
      <c r="A68" s="149" t="s">
        <v>124</v>
      </c>
      <c r="B68" s="149"/>
      <c r="C68" s="236"/>
      <c r="D68" s="170">
        <f t="shared" ref="D68:J68" si="11">D8+D13+D27+D58+D62+D66</f>
        <v>-529536</v>
      </c>
      <c r="E68" s="146">
        <f t="shared" si="11"/>
        <v>-908490</v>
      </c>
      <c r="F68" s="170">
        <f t="shared" si="11"/>
        <v>-1586294</v>
      </c>
      <c r="G68" s="146">
        <f t="shared" si="11"/>
        <v>-1685000</v>
      </c>
      <c r="H68" s="146">
        <f t="shared" si="11"/>
        <v>-380000</v>
      </c>
      <c r="I68" s="146">
        <f t="shared" si="11"/>
        <v>-580000</v>
      </c>
      <c r="J68" s="146">
        <f t="shared" si="11"/>
        <v>-730000</v>
      </c>
    </row>
    <row r="69" spans="1:15" s="7" customFormat="1" x14ac:dyDescent="0.2">
      <c r="A69" s="3"/>
      <c r="B69" s="3"/>
      <c r="C69" s="11"/>
      <c r="D69" s="17"/>
      <c r="E69" s="17"/>
      <c r="F69" s="30"/>
      <c r="G69" s="17"/>
      <c r="H69" s="17"/>
      <c r="I69" s="17"/>
      <c r="J69" s="17"/>
    </row>
    <row r="70" spans="1:15" x14ac:dyDescent="0.2">
      <c r="A70" s="1" t="s">
        <v>125</v>
      </c>
      <c r="C70" s="13"/>
    </row>
    <row r="71" spans="1:15" ht="13.5" x14ac:dyDescent="0.2">
      <c r="A71" s="1" t="s">
        <v>126</v>
      </c>
    </row>
    <row r="72" spans="1:15" ht="13.5" x14ac:dyDescent="0.2">
      <c r="A72" s="1" t="s">
        <v>127</v>
      </c>
    </row>
    <row r="73" spans="1:15" ht="13.5" x14ac:dyDescent="0.2">
      <c r="A73" s="1" t="s">
        <v>128</v>
      </c>
    </row>
    <row r="74" spans="1:15" ht="13.5" x14ac:dyDescent="0.2">
      <c r="A74" s="1" t="s">
        <v>129</v>
      </c>
    </row>
    <row r="75" spans="1:15" ht="13.5" x14ac:dyDescent="0.2">
      <c r="A75" s="1" t="s">
        <v>130</v>
      </c>
    </row>
    <row r="76" spans="1:15" ht="13.5" x14ac:dyDescent="0.2">
      <c r="A76" s="1" t="s">
        <v>131</v>
      </c>
    </row>
  </sheetData>
  <mergeCells count="1">
    <mergeCell ref="F18:G18"/>
  </mergeCells>
  <pageMargins left="0.78740157480314965" right="0.78740157480314965" top="0.59055118110236227" bottom="0.59055118110236227" header="0.47244094488188981" footer="0.47244094488188981"/>
  <pageSetup paperSize="9" scale="61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32B3D-6397-4221-9D98-653E9D92E2D3}">
  <dimension ref="A1:BT250"/>
  <sheetViews>
    <sheetView zoomScaleNormal="100" workbookViewId="0"/>
  </sheetViews>
  <sheetFormatPr defaultColWidth="9.140625" defaultRowHeight="12" x14ac:dyDescent="0.2"/>
  <cols>
    <col min="1" max="1" width="3.5703125" style="1" customWidth="1"/>
    <col min="2" max="2" width="47.5703125" style="1" customWidth="1"/>
    <col min="3" max="3" width="16.85546875" style="1" hidden="1" customWidth="1"/>
    <col min="4" max="4" width="10.7109375" style="70" hidden="1" customWidth="1"/>
    <col min="5" max="6" width="16.85546875" style="70" hidden="1" customWidth="1"/>
    <col min="7" max="7" width="10.7109375" style="27" hidden="1" customWidth="1"/>
    <col min="8" max="9" width="10.140625" style="63" hidden="1" customWidth="1"/>
    <col min="10" max="12" width="10.140625" style="1" hidden="1" customWidth="1"/>
    <col min="13" max="13" width="10.7109375" style="102" hidden="1" customWidth="1"/>
    <col min="14" max="14" width="10.5703125" style="27" customWidth="1"/>
    <col min="15" max="18" width="10.5703125" style="102" customWidth="1"/>
    <col min="19" max="19" width="11.7109375" style="63" customWidth="1"/>
    <col min="20" max="20" width="11.7109375" style="102" customWidth="1"/>
    <col min="21" max="21" width="10.7109375" style="1" hidden="1" customWidth="1"/>
    <col min="22" max="22" width="11.7109375" style="1" hidden="1" customWidth="1"/>
    <col min="23" max="23" width="11.7109375" style="112" hidden="1" customWidth="1"/>
    <col min="24" max="24" width="10.7109375" style="1" hidden="1" customWidth="1"/>
    <col min="25" max="25" width="11.7109375" style="1" hidden="1" customWidth="1"/>
    <col min="26" max="26" width="11.7109375" style="112" hidden="1" customWidth="1"/>
    <col min="27" max="27" width="10.7109375" style="1" hidden="1" customWidth="1"/>
    <col min="28" max="29" width="11.7109375" style="1" hidden="1" customWidth="1"/>
    <col min="30" max="35" width="12.140625" style="1" hidden="1" customWidth="1"/>
    <col min="36" max="36" width="16.42578125" style="1" hidden="1" customWidth="1"/>
    <col min="37" max="41" width="12.140625" style="1" hidden="1" customWidth="1"/>
    <col min="42" max="42" width="2.42578125" style="1" customWidth="1"/>
    <col min="43" max="43" width="10.5703125" style="63" customWidth="1"/>
    <col min="44" max="44" width="9.140625" style="1"/>
    <col min="45" max="45" width="45" style="1" bestFit="1" customWidth="1"/>
    <col min="46" max="52" width="14.140625" style="1" customWidth="1"/>
    <col min="53" max="16384" width="9.140625" style="1"/>
  </cols>
  <sheetData>
    <row r="1" spans="1:72" x14ac:dyDescent="0.2">
      <c r="G1" s="1"/>
      <c r="M1" s="63"/>
      <c r="N1" s="1"/>
      <c r="O1" s="63"/>
      <c r="P1" s="63"/>
      <c r="Q1" s="63"/>
      <c r="R1" s="63"/>
      <c r="T1" s="63"/>
    </row>
    <row r="2" spans="1:72" s="27" customFormat="1" ht="15" customHeight="1" x14ac:dyDescent="0.2">
      <c r="A2" s="1"/>
      <c r="B2" s="243" t="s">
        <v>132</v>
      </c>
      <c r="C2" s="244"/>
      <c r="D2" s="245"/>
      <c r="E2" s="245"/>
      <c r="F2" s="245"/>
      <c r="G2" s="246" t="s">
        <v>133</v>
      </c>
      <c r="H2" s="247" t="s">
        <v>133</v>
      </c>
      <c r="I2" s="247" t="s">
        <v>134</v>
      </c>
      <c r="J2" s="247" t="s">
        <v>133</v>
      </c>
      <c r="K2" s="247" t="s">
        <v>134</v>
      </c>
      <c r="L2" s="247" t="s">
        <v>133</v>
      </c>
      <c r="M2" s="246" t="s">
        <v>134</v>
      </c>
      <c r="N2" s="246" t="s">
        <v>133</v>
      </c>
      <c r="O2" s="246"/>
      <c r="P2" s="246"/>
      <c r="Q2" s="246" t="s">
        <v>134</v>
      </c>
      <c r="R2" s="246"/>
      <c r="S2" s="246"/>
      <c r="T2" s="246"/>
      <c r="U2" s="246" t="s">
        <v>133</v>
      </c>
      <c r="V2" s="246"/>
      <c r="W2" s="248"/>
      <c r="X2" s="246" t="s">
        <v>133</v>
      </c>
      <c r="Y2" s="246"/>
      <c r="Z2" s="248"/>
      <c r="AA2" s="247" t="s">
        <v>133</v>
      </c>
      <c r="AB2" s="247"/>
      <c r="AC2" s="247"/>
      <c r="AD2" s="249" t="s">
        <v>133</v>
      </c>
      <c r="AE2" s="249" t="s">
        <v>133</v>
      </c>
      <c r="AF2" s="249" t="s">
        <v>133</v>
      </c>
      <c r="AG2" s="249" t="s">
        <v>133</v>
      </c>
      <c r="AH2" s="249" t="s">
        <v>133</v>
      </c>
      <c r="AI2" s="249" t="s">
        <v>133</v>
      </c>
      <c r="AJ2" s="422" t="s">
        <v>135</v>
      </c>
      <c r="AK2" s="423"/>
      <c r="AL2" s="423"/>
      <c r="AM2" s="423"/>
      <c r="AN2" s="424"/>
      <c r="AO2" s="250" t="s">
        <v>133</v>
      </c>
      <c r="AP2" s="114"/>
      <c r="AQ2" s="247" t="s">
        <v>133</v>
      </c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2" s="27" customFormat="1" ht="39" customHeight="1" x14ac:dyDescent="0.2">
      <c r="A3" s="1"/>
      <c r="B3" s="243"/>
      <c r="C3" s="244" t="s">
        <v>2</v>
      </c>
      <c r="D3" s="251" t="s">
        <v>136</v>
      </c>
      <c r="E3" s="247" t="s">
        <v>137</v>
      </c>
      <c r="F3" s="247" t="s">
        <v>138</v>
      </c>
      <c r="G3" s="246" t="s">
        <v>139</v>
      </c>
      <c r="H3" s="247" t="s">
        <v>140</v>
      </c>
      <c r="I3" s="247" t="s">
        <v>141</v>
      </c>
      <c r="J3" s="247" t="s">
        <v>142</v>
      </c>
      <c r="K3" s="247" t="s">
        <v>143</v>
      </c>
      <c r="L3" s="247" t="s">
        <v>144</v>
      </c>
      <c r="M3" s="246" t="s">
        <v>145</v>
      </c>
      <c r="N3" s="246" t="s">
        <v>146</v>
      </c>
      <c r="O3" s="246" t="s">
        <v>147</v>
      </c>
      <c r="P3" s="246" t="s">
        <v>148</v>
      </c>
      <c r="Q3" s="246" t="s">
        <v>149</v>
      </c>
      <c r="R3" s="246" t="s">
        <v>150</v>
      </c>
      <c r="S3" s="246" t="s">
        <v>151</v>
      </c>
      <c r="T3" s="246" t="s">
        <v>152</v>
      </c>
      <c r="U3" s="246" t="s">
        <v>153</v>
      </c>
      <c r="V3" s="246" t="s">
        <v>151</v>
      </c>
      <c r="W3" s="248" t="s">
        <v>152</v>
      </c>
      <c r="X3" s="246" t="s">
        <v>154</v>
      </c>
      <c r="Y3" s="246" t="s">
        <v>151</v>
      </c>
      <c r="Z3" s="248" t="s">
        <v>152</v>
      </c>
      <c r="AA3" s="247">
        <v>2025</v>
      </c>
      <c r="AB3" s="246" t="s">
        <v>151</v>
      </c>
      <c r="AC3" s="246" t="s">
        <v>152</v>
      </c>
      <c r="AD3" s="249">
        <v>2026</v>
      </c>
      <c r="AE3" s="249">
        <v>2027</v>
      </c>
      <c r="AF3" s="249">
        <v>2028</v>
      </c>
      <c r="AG3" s="249">
        <v>2029</v>
      </c>
      <c r="AH3" s="249">
        <v>2030</v>
      </c>
      <c r="AI3" s="249">
        <v>2031</v>
      </c>
      <c r="AJ3" s="250">
        <v>2022</v>
      </c>
      <c r="AK3" s="250">
        <v>2023</v>
      </c>
      <c r="AL3" s="250">
        <v>2024</v>
      </c>
      <c r="AM3" s="250">
        <v>2025</v>
      </c>
      <c r="AN3" s="250">
        <v>2026</v>
      </c>
      <c r="AO3" s="250"/>
      <c r="AP3" s="114"/>
      <c r="AQ3" s="246" t="s">
        <v>155</v>
      </c>
      <c r="AR3" s="1"/>
      <c r="AS3" s="252" t="s">
        <v>156</v>
      </c>
      <c r="AT3" s="253" t="s">
        <v>145</v>
      </c>
      <c r="AU3" s="253" t="s">
        <v>146</v>
      </c>
      <c r="AV3" s="253" t="s">
        <v>147</v>
      </c>
      <c r="AW3" s="253" t="s">
        <v>148</v>
      </c>
      <c r="AX3" s="253" t="s">
        <v>149</v>
      </c>
      <c r="AY3" s="253" t="s">
        <v>155</v>
      </c>
      <c r="AZ3" s="253" t="s">
        <v>157</v>
      </c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</row>
    <row r="4" spans="1:72" ht="12.75" customHeight="1" x14ac:dyDescent="0.2">
      <c r="B4" s="145"/>
      <c r="C4" s="149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5"/>
      <c r="X4" s="254"/>
      <c r="Y4" s="254"/>
      <c r="Z4" s="255"/>
      <c r="AA4" s="254"/>
      <c r="AB4" s="256"/>
      <c r="AC4" s="256"/>
      <c r="AD4" s="256"/>
      <c r="AE4" s="256"/>
      <c r="AF4" s="256"/>
      <c r="AG4" s="256"/>
      <c r="AH4" s="256"/>
      <c r="AI4" s="256"/>
      <c r="AJ4" s="256"/>
      <c r="AK4" s="257"/>
      <c r="AL4" s="257"/>
      <c r="AM4" s="257"/>
      <c r="AN4" s="257"/>
      <c r="AO4" s="257"/>
      <c r="AP4" s="58"/>
      <c r="AQ4" s="258"/>
      <c r="AS4" s="259" t="str">
        <f>B8</f>
        <v>Muut pitkävaikutteiset menot yhteensä</v>
      </c>
      <c r="AT4" s="260">
        <f>M8</f>
        <v>0</v>
      </c>
      <c r="AU4" s="260">
        <f>N8</f>
        <v>0</v>
      </c>
      <c r="AV4" s="260">
        <f t="shared" ref="AV4:AW4" si="0">O8</f>
        <v>0</v>
      </c>
      <c r="AW4" s="260">
        <f t="shared" si="0"/>
        <v>0</v>
      </c>
      <c r="AX4" s="260">
        <f>Q8</f>
        <v>0</v>
      </c>
      <c r="AY4" s="261">
        <f>AQ8</f>
        <v>0</v>
      </c>
      <c r="AZ4" s="88">
        <f>AY4-AW4</f>
        <v>0</v>
      </c>
      <c r="BA4" s="58"/>
      <c r="BB4" s="58"/>
    </row>
    <row r="5" spans="1:72" s="27" customFormat="1" ht="12.75" customHeight="1" x14ac:dyDescent="0.2">
      <c r="A5" s="1"/>
      <c r="B5" s="262" t="s">
        <v>5</v>
      </c>
      <c r="C5" s="263"/>
      <c r="D5" s="264"/>
      <c r="E5" s="264"/>
      <c r="F5" s="264"/>
      <c r="G5" s="264"/>
      <c r="H5" s="264"/>
      <c r="I5" s="265"/>
      <c r="J5" s="264"/>
      <c r="K5" s="265"/>
      <c r="L5" s="265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6"/>
      <c r="X5" s="264"/>
      <c r="Y5" s="264"/>
      <c r="Z5" s="266"/>
      <c r="AA5" s="264"/>
      <c r="AB5" s="72"/>
      <c r="AC5" s="72"/>
      <c r="AD5" s="72"/>
      <c r="AE5" s="72"/>
      <c r="AF5" s="72"/>
      <c r="AG5" s="72"/>
      <c r="AH5" s="72"/>
      <c r="AI5" s="72"/>
      <c r="AJ5" s="72"/>
      <c r="AK5" s="267"/>
      <c r="AL5" s="267"/>
      <c r="AM5" s="267"/>
      <c r="AN5" s="267"/>
      <c r="AO5" s="267"/>
      <c r="AP5" s="58"/>
      <c r="AQ5" s="258"/>
      <c r="AR5" s="1"/>
      <c r="AS5" s="58" t="str">
        <f>B17</f>
        <v>Osakkeet yhteensä</v>
      </c>
      <c r="AT5" s="88">
        <f>M17</f>
        <v>46924.43</v>
      </c>
      <c r="AU5" s="88">
        <f>N17</f>
        <v>0</v>
      </c>
      <c r="AV5" s="88">
        <f t="shared" ref="AV5:AW5" si="1">O17</f>
        <v>0</v>
      </c>
      <c r="AW5" s="88">
        <f t="shared" si="1"/>
        <v>0</v>
      </c>
      <c r="AX5" s="88">
        <f>Q17</f>
        <v>0</v>
      </c>
      <c r="AY5" s="123">
        <f>AQ17</f>
        <v>0</v>
      </c>
      <c r="AZ5" s="88">
        <f t="shared" ref="AZ5:AZ19" si="2">AY5-AW5</f>
        <v>0</v>
      </c>
      <c r="BA5" s="58"/>
      <c r="BB5" s="58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</row>
    <row r="6" spans="1:72" ht="12.75" hidden="1" customHeight="1" x14ac:dyDescent="0.2">
      <c r="B6" s="134" t="s">
        <v>8</v>
      </c>
      <c r="C6" s="135" t="s">
        <v>9</v>
      </c>
      <c r="D6" s="136">
        <v>8106</v>
      </c>
      <c r="E6" s="136">
        <v>8400</v>
      </c>
      <c r="F6" s="136">
        <v>7110</v>
      </c>
      <c r="G6" s="133">
        <f>SUM(I6,K6,M6:AA6)</f>
        <v>-100000</v>
      </c>
      <c r="H6" s="133">
        <v>-200000</v>
      </c>
      <c r="I6" s="268">
        <v>0</v>
      </c>
      <c r="J6" s="133">
        <v>-100000</v>
      </c>
      <c r="K6" s="133">
        <v>-100000</v>
      </c>
      <c r="L6" s="133"/>
      <c r="M6" s="133"/>
      <c r="N6" s="133"/>
      <c r="O6" s="133"/>
      <c r="P6" s="133"/>
      <c r="Q6" s="133"/>
      <c r="R6" s="133"/>
      <c r="S6" s="136"/>
      <c r="T6" s="133"/>
      <c r="U6" s="133"/>
      <c r="V6" s="133"/>
      <c r="W6" s="143"/>
      <c r="X6" s="133"/>
      <c r="Y6" s="133"/>
      <c r="Z6" s="143"/>
      <c r="AA6" s="133"/>
      <c r="AB6" s="269"/>
      <c r="AC6" s="269"/>
      <c r="AD6" s="269"/>
      <c r="AE6" s="133"/>
      <c r="AF6" s="133"/>
      <c r="AG6" s="133"/>
      <c r="AH6" s="133"/>
      <c r="AI6" s="133"/>
      <c r="AJ6" s="133" t="s">
        <v>158</v>
      </c>
      <c r="AK6" s="133"/>
      <c r="AL6" s="133"/>
      <c r="AM6" s="133"/>
      <c r="AN6" s="133"/>
      <c r="AO6" s="133"/>
      <c r="AP6" s="58"/>
      <c r="AQ6" s="270"/>
      <c r="AS6" s="58"/>
      <c r="AT6" s="58"/>
      <c r="AU6" s="58"/>
      <c r="AV6" s="58"/>
      <c r="AW6" s="58"/>
      <c r="AX6" s="58"/>
      <c r="AY6" s="124"/>
      <c r="AZ6" s="88">
        <f t="shared" si="2"/>
        <v>0</v>
      </c>
      <c r="BA6" s="58"/>
      <c r="BB6" s="58"/>
    </row>
    <row r="7" spans="1:72" ht="12.75" hidden="1" customHeight="1" x14ac:dyDescent="0.2">
      <c r="B7" s="134" t="s">
        <v>159</v>
      </c>
      <c r="C7" s="135"/>
      <c r="D7" s="136"/>
      <c r="E7" s="136"/>
      <c r="F7" s="136"/>
      <c r="G7" s="133">
        <f>SUM(I7,K7,M7:AA7)</f>
        <v>0</v>
      </c>
      <c r="H7" s="133">
        <v>-10000</v>
      </c>
      <c r="I7" s="268">
        <v>0</v>
      </c>
      <c r="J7" s="133"/>
      <c r="K7" s="133"/>
      <c r="L7" s="133"/>
      <c r="M7" s="133"/>
      <c r="N7" s="133"/>
      <c r="O7" s="133"/>
      <c r="P7" s="133"/>
      <c r="Q7" s="133"/>
      <c r="R7" s="133"/>
      <c r="S7" s="136"/>
      <c r="T7" s="133"/>
      <c r="U7" s="133"/>
      <c r="V7" s="133"/>
      <c r="W7" s="143"/>
      <c r="X7" s="133"/>
      <c r="Y7" s="133"/>
      <c r="Z7" s="143"/>
      <c r="AA7" s="133"/>
      <c r="AB7" s="269"/>
      <c r="AC7" s="269"/>
      <c r="AD7" s="269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58"/>
      <c r="AQ7" s="270"/>
      <c r="AS7" s="58"/>
      <c r="AT7" s="58"/>
      <c r="AU7" s="58"/>
      <c r="AV7" s="58"/>
      <c r="AW7" s="58"/>
      <c r="AX7" s="58"/>
      <c r="AY7" s="124"/>
      <c r="AZ7" s="88">
        <f t="shared" si="2"/>
        <v>0</v>
      </c>
      <c r="BA7" s="58"/>
      <c r="BB7" s="58"/>
    </row>
    <row r="8" spans="1:72" s="57" customFormat="1" ht="12.75" customHeight="1" x14ac:dyDescent="0.2">
      <c r="A8" s="7"/>
      <c r="B8" s="262" t="s">
        <v>16</v>
      </c>
      <c r="C8" s="263"/>
      <c r="D8" s="264"/>
      <c r="E8" s="264"/>
      <c r="F8" s="264"/>
      <c r="G8" s="271">
        <v>0</v>
      </c>
      <c r="H8" s="271">
        <f>SUM(H6:H7)</f>
        <v>-210000</v>
      </c>
      <c r="I8" s="271">
        <f t="shared" ref="I8:AO8" si="3">SUM(I6:I7)</f>
        <v>0</v>
      </c>
      <c r="J8" s="271">
        <f t="shared" si="3"/>
        <v>-100000</v>
      </c>
      <c r="K8" s="271">
        <f t="shared" si="3"/>
        <v>-100000</v>
      </c>
      <c r="L8" s="271">
        <f t="shared" si="3"/>
        <v>0</v>
      </c>
      <c r="M8" s="271">
        <f>SUM(M6:M7)</f>
        <v>0</v>
      </c>
      <c r="N8" s="271">
        <f t="shared" si="3"/>
        <v>0</v>
      </c>
      <c r="O8" s="271">
        <f t="shared" si="3"/>
        <v>0</v>
      </c>
      <c r="P8" s="271">
        <f t="shared" si="3"/>
        <v>0</v>
      </c>
      <c r="Q8" s="271">
        <f>SUM(Q6:Q7)</f>
        <v>0</v>
      </c>
      <c r="R8" s="272">
        <v>0</v>
      </c>
      <c r="S8" s="264"/>
      <c r="T8" s="271"/>
      <c r="U8" s="271">
        <f t="shared" si="3"/>
        <v>0</v>
      </c>
      <c r="V8" s="271"/>
      <c r="W8" s="266"/>
      <c r="X8" s="271">
        <f t="shared" si="3"/>
        <v>0</v>
      </c>
      <c r="Y8" s="271"/>
      <c r="Z8" s="266"/>
      <c r="AA8" s="271">
        <f t="shared" si="3"/>
        <v>0</v>
      </c>
      <c r="AB8" s="273"/>
      <c r="AC8" s="273"/>
      <c r="AD8" s="273">
        <f t="shared" si="3"/>
        <v>0</v>
      </c>
      <c r="AE8" s="271">
        <f t="shared" si="3"/>
        <v>0</v>
      </c>
      <c r="AF8" s="271">
        <f t="shared" si="3"/>
        <v>0</v>
      </c>
      <c r="AG8" s="271">
        <f t="shared" si="3"/>
        <v>0</v>
      </c>
      <c r="AH8" s="271">
        <f t="shared" si="3"/>
        <v>0</v>
      </c>
      <c r="AI8" s="271">
        <f t="shared" si="3"/>
        <v>0</v>
      </c>
      <c r="AJ8" s="271">
        <f t="shared" si="3"/>
        <v>0</v>
      </c>
      <c r="AK8" s="271">
        <f t="shared" si="3"/>
        <v>0</v>
      </c>
      <c r="AL8" s="271">
        <f t="shared" si="3"/>
        <v>0</v>
      </c>
      <c r="AM8" s="271">
        <f t="shared" si="3"/>
        <v>0</v>
      </c>
      <c r="AN8" s="271">
        <f t="shared" si="3"/>
        <v>0</v>
      </c>
      <c r="AO8" s="271">
        <f t="shared" si="3"/>
        <v>0</v>
      </c>
      <c r="AP8" s="58"/>
      <c r="AQ8" s="274">
        <f t="shared" ref="AQ8" si="4">SUM(AQ6:AQ7)</f>
        <v>0</v>
      </c>
      <c r="AR8" s="1"/>
      <c r="AS8" s="58" t="str">
        <f>B23</f>
        <v>Maa-alueet yhteensä</v>
      </c>
      <c r="AT8" s="88">
        <f>M23</f>
        <v>78834.44</v>
      </c>
      <c r="AU8" s="88">
        <f>N23</f>
        <v>0</v>
      </c>
      <c r="AV8" s="88">
        <f t="shared" ref="AV8:AW8" si="5">O23</f>
        <v>0</v>
      </c>
      <c r="AW8" s="88">
        <f t="shared" si="5"/>
        <v>0</v>
      </c>
      <c r="AX8" s="88">
        <f>Q23</f>
        <v>-104427.93</v>
      </c>
      <c r="AY8" s="123">
        <f>AQ23</f>
        <v>-105000</v>
      </c>
      <c r="AZ8" s="88">
        <f t="shared" si="2"/>
        <v>-105000</v>
      </c>
      <c r="BA8" s="58"/>
      <c r="BB8" s="58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</row>
    <row r="9" spans="1:72" s="7" customFormat="1" ht="12.75" customHeight="1" x14ac:dyDescent="0.2">
      <c r="B9" s="145"/>
      <c r="C9" s="149"/>
      <c r="D9" s="254"/>
      <c r="E9" s="254"/>
      <c r="F9" s="254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54"/>
      <c r="T9" s="275"/>
      <c r="U9" s="275"/>
      <c r="V9" s="275"/>
      <c r="W9" s="255"/>
      <c r="X9" s="275"/>
      <c r="Y9" s="275"/>
      <c r="Z9" s="255"/>
      <c r="AA9" s="275"/>
      <c r="AB9" s="276"/>
      <c r="AC9" s="276"/>
      <c r="AD9" s="276"/>
      <c r="AE9" s="276"/>
      <c r="AF9" s="276"/>
      <c r="AG9" s="276"/>
      <c r="AH9" s="276"/>
      <c r="AI9" s="276"/>
      <c r="AJ9" s="276"/>
      <c r="AK9" s="276"/>
      <c r="AL9" s="276"/>
      <c r="AM9" s="276"/>
      <c r="AN9" s="276"/>
      <c r="AO9" s="276"/>
      <c r="AP9" s="58"/>
      <c r="AQ9" s="274"/>
      <c r="AR9" s="1"/>
      <c r="AS9" s="58" t="str">
        <f>B41</f>
        <v>Kiinteistöhankkeet yhteensä</v>
      </c>
      <c r="AT9" s="88">
        <f>M41</f>
        <v>-100208.48</v>
      </c>
      <c r="AU9" s="88">
        <f>N41</f>
        <v>-2515000</v>
      </c>
      <c r="AV9" s="88">
        <f t="shared" ref="AV9:AW9" si="6">O41</f>
        <v>1930000</v>
      </c>
      <c r="AW9" s="88">
        <f t="shared" si="6"/>
        <v>-585000</v>
      </c>
      <c r="AX9" s="88">
        <f>Q41</f>
        <v>-87759.1</v>
      </c>
      <c r="AY9" s="123">
        <f>AQ41</f>
        <v>-640000</v>
      </c>
      <c r="AZ9" s="88">
        <f t="shared" si="2"/>
        <v>-55000</v>
      </c>
      <c r="BA9" s="58"/>
      <c r="BB9" s="58"/>
    </row>
    <row r="10" spans="1:72" s="57" customFormat="1" ht="12.75" customHeight="1" x14ac:dyDescent="0.2">
      <c r="A10" s="7"/>
      <c r="B10" s="262" t="s">
        <v>121</v>
      </c>
      <c r="C10" s="263"/>
      <c r="D10" s="264"/>
      <c r="E10" s="264"/>
      <c r="F10" s="264"/>
      <c r="G10" s="264"/>
      <c r="H10" s="271"/>
      <c r="I10" s="271"/>
      <c r="J10" s="271"/>
      <c r="K10" s="271"/>
      <c r="L10" s="271"/>
      <c r="M10" s="264"/>
      <c r="N10" s="264"/>
      <c r="O10" s="264"/>
      <c r="P10" s="264"/>
      <c r="Q10" s="264"/>
      <c r="R10" s="264"/>
      <c r="S10" s="264"/>
      <c r="T10" s="264"/>
      <c r="U10" s="271"/>
      <c r="V10" s="271"/>
      <c r="W10" s="266"/>
      <c r="X10" s="271"/>
      <c r="Y10" s="271"/>
      <c r="Z10" s="266"/>
      <c r="AA10" s="271"/>
      <c r="AB10" s="273"/>
      <c r="AC10" s="273"/>
      <c r="AD10" s="273"/>
      <c r="AE10" s="273"/>
      <c r="AF10" s="273"/>
      <c r="AG10" s="273"/>
      <c r="AH10" s="273"/>
      <c r="AI10" s="273"/>
      <c r="AJ10" s="273"/>
      <c r="AK10" s="273"/>
      <c r="AL10" s="273"/>
      <c r="AM10" s="273"/>
      <c r="AN10" s="273"/>
      <c r="AO10" s="273"/>
      <c r="AP10" s="58"/>
      <c r="AQ10" s="274"/>
      <c r="AR10" s="1"/>
      <c r="AS10" s="58" t="str">
        <f>B64</f>
        <v>Kaavatiet yhteensä</v>
      </c>
      <c r="AT10" s="88">
        <f>M64</f>
        <v>-229836.68</v>
      </c>
      <c r="AU10" s="88">
        <f>N64</f>
        <v>-1850000</v>
      </c>
      <c r="AV10" s="88">
        <f t="shared" ref="AV10:AW10" si="7">O64</f>
        <v>347950</v>
      </c>
      <c r="AW10" s="88">
        <f t="shared" si="7"/>
        <v>-1502050</v>
      </c>
      <c r="AX10" s="88">
        <f>Q64</f>
        <v>-155735.69</v>
      </c>
      <c r="AY10" s="123">
        <f>AQ64</f>
        <v>-1192050</v>
      </c>
      <c r="AZ10" s="88">
        <f t="shared" si="2"/>
        <v>310000</v>
      </c>
      <c r="BA10" s="58"/>
      <c r="BB10" s="58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</row>
    <row r="11" spans="1:72" s="7" customFormat="1" ht="12.75" hidden="1" customHeight="1" x14ac:dyDescent="0.2">
      <c r="B11" s="134" t="s">
        <v>122</v>
      </c>
      <c r="C11" s="135" t="s">
        <v>55</v>
      </c>
      <c r="D11" s="136">
        <v>8143</v>
      </c>
      <c r="E11" s="136">
        <v>8440</v>
      </c>
      <c r="F11" s="136"/>
      <c r="G11" s="275">
        <f>SUM(I11,K11,M11:AA11)</f>
        <v>-96784</v>
      </c>
      <c r="H11" s="133">
        <v>-60490</v>
      </c>
      <c r="I11" s="133">
        <v>-60490</v>
      </c>
      <c r="J11" s="133">
        <v>-36294</v>
      </c>
      <c r="K11" s="133">
        <v>-36294</v>
      </c>
      <c r="L11" s="133"/>
      <c r="M11" s="275"/>
      <c r="N11" s="275"/>
      <c r="O11" s="275"/>
      <c r="P11" s="275"/>
      <c r="Q11" s="275"/>
      <c r="R11" s="275"/>
      <c r="S11" s="254"/>
      <c r="T11" s="275"/>
      <c r="U11" s="277"/>
      <c r="V11" s="277"/>
      <c r="W11" s="278"/>
      <c r="X11" s="277"/>
      <c r="Y11" s="277"/>
      <c r="Z11" s="278"/>
      <c r="AA11" s="133"/>
      <c r="AB11" s="269"/>
      <c r="AC11" s="269"/>
      <c r="AD11" s="269"/>
      <c r="AE11" s="133"/>
      <c r="AF11" s="133"/>
      <c r="AG11" s="133"/>
      <c r="AH11" s="133"/>
      <c r="AI11" s="133"/>
      <c r="AJ11" s="277" t="s">
        <v>160</v>
      </c>
      <c r="AK11" s="277"/>
      <c r="AL11" s="277"/>
      <c r="AM11" s="277"/>
      <c r="AN11" s="277"/>
      <c r="AO11" s="277"/>
      <c r="AP11" s="58"/>
      <c r="AQ11" s="270"/>
      <c r="AR11" s="1"/>
      <c r="AS11" s="58"/>
      <c r="AT11" s="58"/>
      <c r="AU11" s="58"/>
      <c r="AV11" s="58"/>
      <c r="AW11" s="58"/>
      <c r="AX11" s="58"/>
      <c r="AY11" s="124"/>
      <c r="AZ11" s="88">
        <f t="shared" si="2"/>
        <v>0</v>
      </c>
      <c r="BA11" s="58"/>
      <c r="BB11" s="58"/>
    </row>
    <row r="12" spans="1:72" s="7" customFormat="1" ht="12.75" hidden="1" customHeight="1" x14ac:dyDescent="0.2">
      <c r="B12" s="134" t="s">
        <v>161</v>
      </c>
      <c r="C12" s="135"/>
      <c r="D12" s="136"/>
      <c r="E12" s="136"/>
      <c r="F12" s="136"/>
      <c r="G12" s="275">
        <f t="shared" ref="G12:G15" si="8">SUM(I12,K12,M12:AA12)</f>
        <v>-21</v>
      </c>
      <c r="H12" s="133"/>
      <c r="I12" s="133"/>
      <c r="J12" s="133">
        <v>0</v>
      </c>
      <c r="K12" s="133">
        <v>-21</v>
      </c>
      <c r="L12" s="133"/>
      <c r="M12" s="275"/>
      <c r="N12" s="275"/>
      <c r="O12" s="275"/>
      <c r="P12" s="275"/>
      <c r="Q12" s="275"/>
      <c r="R12" s="275"/>
      <c r="S12" s="254"/>
      <c r="T12" s="275"/>
      <c r="U12" s="277"/>
      <c r="V12" s="277"/>
      <c r="W12" s="278"/>
      <c r="X12" s="277"/>
      <c r="Y12" s="277"/>
      <c r="Z12" s="278"/>
      <c r="AA12" s="133"/>
      <c r="AB12" s="269"/>
      <c r="AC12" s="269"/>
      <c r="AD12" s="269"/>
      <c r="AE12" s="133"/>
      <c r="AF12" s="133"/>
      <c r="AG12" s="133"/>
      <c r="AH12" s="133"/>
      <c r="AI12" s="133"/>
      <c r="AJ12" s="277"/>
      <c r="AK12" s="277"/>
      <c r="AL12" s="277"/>
      <c r="AM12" s="277"/>
      <c r="AN12" s="277"/>
      <c r="AO12" s="277"/>
      <c r="AP12" s="58"/>
      <c r="AQ12" s="270"/>
      <c r="AR12" s="1"/>
      <c r="AS12" s="58"/>
      <c r="AT12" s="58"/>
      <c r="AU12" s="58"/>
      <c r="AV12" s="58"/>
      <c r="AW12" s="58"/>
      <c r="AX12" s="58"/>
      <c r="AY12" s="124"/>
      <c r="AZ12" s="88">
        <f t="shared" si="2"/>
        <v>0</v>
      </c>
      <c r="BA12" s="58"/>
      <c r="BB12" s="58"/>
    </row>
    <row r="13" spans="1:72" s="7" customFormat="1" ht="12.75" hidden="1" customHeight="1" x14ac:dyDescent="0.2">
      <c r="B13" s="134" t="s">
        <v>162</v>
      </c>
      <c r="C13" s="135"/>
      <c r="D13" s="136"/>
      <c r="E13" s="136"/>
      <c r="F13" s="136"/>
      <c r="G13" s="275">
        <f t="shared" si="8"/>
        <v>-3885</v>
      </c>
      <c r="H13" s="133">
        <v>0</v>
      </c>
      <c r="I13" s="133">
        <v>-3885</v>
      </c>
      <c r="J13" s="133"/>
      <c r="K13" s="133"/>
      <c r="L13" s="133"/>
      <c r="M13" s="275"/>
      <c r="N13" s="275"/>
      <c r="O13" s="275"/>
      <c r="P13" s="275"/>
      <c r="Q13" s="275"/>
      <c r="R13" s="275"/>
      <c r="S13" s="254"/>
      <c r="T13" s="275"/>
      <c r="U13" s="277"/>
      <c r="V13" s="277"/>
      <c r="W13" s="278"/>
      <c r="X13" s="277"/>
      <c r="Y13" s="277"/>
      <c r="Z13" s="278"/>
      <c r="AA13" s="133"/>
      <c r="AB13" s="269"/>
      <c r="AC13" s="269"/>
      <c r="AD13" s="269"/>
      <c r="AE13" s="133"/>
      <c r="AF13" s="133"/>
      <c r="AG13" s="133"/>
      <c r="AH13" s="133"/>
      <c r="AI13" s="133"/>
      <c r="AJ13" s="277" t="s">
        <v>160</v>
      </c>
      <c r="AK13" s="277"/>
      <c r="AL13" s="277"/>
      <c r="AM13" s="277"/>
      <c r="AN13" s="277"/>
      <c r="AO13" s="277"/>
      <c r="AP13" s="58"/>
      <c r="AQ13" s="270"/>
      <c r="AR13" s="1"/>
      <c r="AS13" s="58"/>
      <c r="AT13" s="58"/>
      <c r="AU13" s="58"/>
      <c r="AV13" s="58"/>
      <c r="AW13" s="58"/>
      <c r="AX13" s="58"/>
      <c r="AY13" s="124"/>
      <c r="AZ13" s="88">
        <f t="shared" si="2"/>
        <v>0</v>
      </c>
      <c r="BA13" s="58"/>
      <c r="BB13" s="58"/>
    </row>
    <row r="14" spans="1:72" s="7" customFormat="1" ht="12.75" hidden="1" customHeight="1" x14ac:dyDescent="0.2">
      <c r="B14" s="134" t="s">
        <v>163</v>
      </c>
      <c r="C14" s="135"/>
      <c r="D14" s="136"/>
      <c r="E14" s="136"/>
      <c r="F14" s="136"/>
      <c r="G14" s="275">
        <f t="shared" si="8"/>
        <v>-4500</v>
      </c>
      <c r="H14" s="133">
        <v>0</v>
      </c>
      <c r="I14" s="133">
        <v>-4500</v>
      </c>
      <c r="J14" s="133"/>
      <c r="K14" s="133"/>
      <c r="L14" s="133"/>
      <c r="M14" s="275"/>
      <c r="N14" s="275"/>
      <c r="O14" s="275"/>
      <c r="P14" s="275"/>
      <c r="Q14" s="275"/>
      <c r="R14" s="275"/>
      <c r="S14" s="254"/>
      <c r="T14" s="275"/>
      <c r="U14" s="277"/>
      <c r="V14" s="277"/>
      <c r="W14" s="278"/>
      <c r="X14" s="277"/>
      <c r="Y14" s="277"/>
      <c r="Z14" s="278"/>
      <c r="AA14" s="133"/>
      <c r="AB14" s="269"/>
      <c r="AC14" s="269"/>
      <c r="AD14" s="269"/>
      <c r="AE14" s="133"/>
      <c r="AF14" s="133"/>
      <c r="AG14" s="133"/>
      <c r="AH14" s="133"/>
      <c r="AI14" s="133"/>
      <c r="AJ14" s="277" t="s">
        <v>160</v>
      </c>
      <c r="AK14" s="277"/>
      <c r="AL14" s="277"/>
      <c r="AM14" s="277"/>
      <c r="AN14" s="277"/>
      <c r="AO14" s="277"/>
      <c r="AP14" s="58"/>
      <c r="AQ14" s="270"/>
      <c r="AR14" s="1"/>
      <c r="AS14" s="58"/>
      <c r="AT14" s="58"/>
      <c r="AU14" s="58"/>
      <c r="AV14" s="58"/>
      <c r="AW14" s="58"/>
      <c r="AX14" s="58"/>
      <c r="AY14" s="124"/>
      <c r="AZ14" s="88">
        <f t="shared" si="2"/>
        <v>0</v>
      </c>
      <c r="BA14" s="58"/>
      <c r="BB14" s="58"/>
    </row>
    <row r="15" spans="1:72" s="7" customFormat="1" ht="12.75" hidden="1" customHeight="1" x14ac:dyDescent="0.2">
      <c r="B15" s="134" t="s">
        <v>164</v>
      </c>
      <c r="C15" s="135"/>
      <c r="D15" s="136"/>
      <c r="E15" s="136"/>
      <c r="F15" s="136"/>
      <c r="G15" s="275">
        <f t="shared" si="8"/>
        <v>-11801</v>
      </c>
      <c r="H15" s="133">
        <v>0</v>
      </c>
      <c r="I15" s="133">
        <v>-11801</v>
      </c>
      <c r="J15" s="133"/>
      <c r="K15" s="133"/>
      <c r="L15" s="133"/>
      <c r="M15" s="275"/>
      <c r="N15" s="275"/>
      <c r="O15" s="275"/>
      <c r="P15" s="275"/>
      <c r="Q15" s="275"/>
      <c r="R15" s="275"/>
      <c r="S15" s="254"/>
      <c r="T15" s="275"/>
      <c r="U15" s="277"/>
      <c r="V15" s="277"/>
      <c r="W15" s="278"/>
      <c r="X15" s="277"/>
      <c r="Y15" s="277"/>
      <c r="Z15" s="278"/>
      <c r="AA15" s="133"/>
      <c r="AB15" s="269"/>
      <c r="AC15" s="269"/>
      <c r="AD15" s="269"/>
      <c r="AE15" s="133"/>
      <c r="AF15" s="133"/>
      <c r="AG15" s="133"/>
      <c r="AH15" s="133"/>
      <c r="AI15" s="133"/>
      <c r="AJ15" s="277" t="s">
        <v>160</v>
      </c>
      <c r="AK15" s="277"/>
      <c r="AL15" s="277"/>
      <c r="AM15" s="277"/>
      <c r="AN15" s="277"/>
      <c r="AO15" s="277"/>
      <c r="AP15" s="58"/>
      <c r="AQ15" s="270"/>
      <c r="AR15" s="1"/>
      <c r="AS15" s="58"/>
      <c r="AT15" s="58"/>
      <c r="AU15" s="58"/>
      <c r="AV15" s="58"/>
      <c r="AW15" s="58"/>
      <c r="AX15" s="58"/>
      <c r="AY15" s="124"/>
      <c r="AZ15" s="88">
        <f t="shared" si="2"/>
        <v>0</v>
      </c>
      <c r="BA15" s="58"/>
      <c r="BB15" s="58"/>
    </row>
    <row r="16" spans="1:72" s="7" customFormat="1" ht="12.75" customHeight="1" x14ac:dyDescent="0.2">
      <c r="B16" s="134" t="s">
        <v>165</v>
      </c>
      <c r="C16" s="135"/>
      <c r="D16" s="136"/>
      <c r="E16" s="136"/>
      <c r="F16" s="136"/>
      <c r="G16" s="133">
        <f>SUM(N16,U16:AA16)</f>
        <v>0</v>
      </c>
      <c r="H16" s="133"/>
      <c r="I16" s="133"/>
      <c r="J16" s="133"/>
      <c r="K16" s="133"/>
      <c r="L16" s="133">
        <v>0</v>
      </c>
      <c r="M16" s="133">
        <v>46924.43</v>
      </c>
      <c r="N16" s="133"/>
      <c r="O16" s="275">
        <v>0</v>
      </c>
      <c r="P16" s="275">
        <f>N16+O16</f>
        <v>0</v>
      </c>
      <c r="Q16" s="275">
        <v>0</v>
      </c>
      <c r="R16" s="137">
        <v>0</v>
      </c>
      <c r="S16" s="254"/>
      <c r="T16" s="275"/>
      <c r="U16" s="277"/>
      <c r="V16" s="277"/>
      <c r="W16" s="278"/>
      <c r="X16" s="277"/>
      <c r="Y16" s="277"/>
      <c r="Z16" s="278"/>
      <c r="AA16" s="133"/>
      <c r="AB16" s="269"/>
      <c r="AC16" s="269"/>
      <c r="AD16" s="269"/>
      <c r="AE16" s="133"/>
      <c r="AF16" s="133"/>
      <c r="AG16" s="133"/>
      <c r="AH16" s="133"/>
      <c r="AI16" s="133"/>
      <c r="AJ16" s="277"/>
      <c r="AK16" s="277"/>
      <c r="AL16" s="277"/>
      <c r="AM16" s="277"/>
      <c r="AN16" s="277"/>
      <c r="AO16" s="277"/>
      <c r="AP16" s="58"/>
      <c r="AQ16" s="270"/>
      <c r="AR16" s="1"/>
      <c r="AS16" s="58" t="str">
        <f>B80</f>
        <v>Puistot, leikkikentät ja muut yleiset alueet yhteensä</v>
      </c>
      <c r="AT16" s="88">
        <f>M80</f>
        <v>-92641.86</v>
      </c>
      <c r="AU16" s="88">
        <f>N80</f>
        <v>-110000</v>
      </c>
      <c r="AV16" s="88">
        <f t="shared" ref="AV16:AW16" si="9">O80</f>
        <v>0</v>
      </c>
      <c r="AW16" s="88">
        <f t="shared" si="9"/>
        <v>-110000</v>
      </c>
      <c r="AX16" s="88">
        <f>Q80</f>
        <v>-81176.179999999993</v>
      </c>
      <c r="AY16" s="123">
        <f>AQ80</f>
        <v>-131000</v>
      </c>
      <c r="AZ16" s="88">
        <f t="shared" si="2"/>
        <v>-21000</v>
      </c>
      <c r="BA16" s="58"/>
      <c r="BB16" s="58"/>
    </row>
    <row r="17" spans="1:72" s="57" customFormat="1" ht="12.75" customHeight="1" x14ac:dyDescent="0.2">
      <c r="A17" s="7"/>
      <c r="B17" s="262" t="s">
        <v>123</v>
      </c>
      <c r="C17" s="263"/>
      <c r="D17" s="264"/>
      <c r="E17" s="264"/>
      <c r="F17" s="264"/>
      <c r="G17" s="271">
        <f>SUM(G16)</f>
        <v>0</v>
      </c>
      <c r="H17" s="271">
        <f t="shared" ref="H17:AA17" si="10">SUM(H16)</f>
        <v>0</v>
      </c>
      <c r="I17" s="271">
        <f t="shared" si="10"/>
        <v>0</v>
      </c>
      <c r="J17" s="271">
        <f t="shared" si="10"/>
        <v>0</v>
      </c>
      <c r="K17" s="271">
        <f t="shared" si="10"/>
        <v>0</v>
      </c>
      <c r="L17" s="271">
        <f t="shared" si="10"/>
        <v>0</v>
      </c>
      <c r="M17" s="271">
        <f t="shared" si="10"/>
        <v>46924.43</v>
      </c>
      <c r="N17" s="271">
        <f>SUM(N16)</f>
        <v>0</v>
      </c>
      <c r="O17" s="271">
        <f t="shared" ref="O17:Q17" si="11">SUM(O16)</f>
        <v>0</v>
      </c>
      <c r="P17" s="271">
        <f t="shared" si="11"/>
        <v>0</v>
      </c>
      <c r="Q17" s="271">
        <f t="shared" si="11"/>
        <v>0</v>
      </c>
      <c r="R17" s="272">
        <v>0</v>
      </c>
      <c r="S17" s="271"/>
      <c r="T17" s="271"/>
      <c r="U17" s="271">
        <f t="shared" si="10"/>
        <v>0</v>
      </c>
      <c r="V17" s="271"/>
      <c r="W17" s="266"/>
      <c r="X17" s="271">
        <f t="shared" si="10"/>
        <v>0</v>
      </c>
      <c r="Y17" s="271"/>
      <c r="Z17" s="266"/>
      <c r="AA17" s="271">
        <f t="shared" si="10"/>
        <v>0</v>
      </c>
      <c r="AB17" s="273"/>
      <c r="AC17" s="273"/>
      <c r="AD17" s="273">
        <f t="shared" ref="AD17:AO17" si="12">SUM(AD11:AD16)</f>
        <v>0</v>
      </c>
      <c r="AE17" s="271">
        <f t="shared" si="12"/>
        <v>0</v>
      </c>
      <c r="AF17" s="271">
        <f t="shared" si="12"/>
        <v>0</v>
      </c>
      <c r="AG17" s="271">
        <f t="shared" si="12"/>
        <v>0</v>
      </c>
      <c r="AH17" s="271">
        <f t="shared" si="12"/>
        <v>0</v>
      </c>
      <c r="AI17" s="271">
        <f t="shared" si="12"/>
        <v>0</v>
      </c>
      <c r="AJ17" s="271">
        <f t="shared" si="12"/>
        <v>0</v>
      </c>
      <c r="AK17" s="271">
        <f t="shared" si="12"/>
        <v>0</v>
      </c>
      <c r="AL17" s="271">
        <f t="shared" si="12"/>
        <v>0</v>
      </c>
      <c r="AM17" s="271">
        <f t="shared" si="12"/>
        <v>0</v>
      </c>
      <c r="AN17" s="271">
        <f t="shared" si="12"/>
        <v>0</v>
      </c>
      <c r="AO17" s="271">
        <f t="shared" si="12"/>
        <v>0</v>
      </c>
      <c r="AP17" s="58"/>
      <c r="AQ17" s="274">
        <f t="shared" ref="AQ17" si="13">SUM(AQ16)</f>
        <v>0</v>
      </c>
      <c r="AR17" s="1"/>
      <c r="AS17" s="58" t="str">
        <f>B108</f>
        <v>Vesi- ja viemärilaitos yhteensä</v>
      </c>
      <c r="AT17" s="88">
        <f>M108</f>
        <v>-373555.65</v>
      </c>
      <c r="AU17" s="88">
        <f>N108</f>
        <v>-1013200</v>
      </c>
      <c r="AV17" s="88">
        <f t="shared" ref="AV17:AW17" si="14">O108</f>
        <v>140000</v>
      </c>
      <c r="AW17" s="88">
        <f t="shared" si="14"/>
        <v>-873200</v>
      </c>
      <c r="AX17" s="88">
        <f>Q108</f>
        <v>-138480.74</v>
      </c>
      <c r="AY17" s="123">
        <f>AQ108</f>
        <v>-650000</v>
      </c>
      <c r="AZ17" s="88">
        <f t="shared" si="2"/>
        <v>223200</v>
      </c>
      <c r="BA17" s="58"/>
      <c r="BB17" s="58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</row>
    <row r="18" spans="1:72" ht="12.75" customHeight="1" x14ac:dyDescent="0.2">
      <c r="B18" s="134"/>
      <c r="C18" s="135"/>
      <c r="D18" s="136"/>
      <c r="E18" s="136"/>
      <c r="F18" s="136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6"/>
      <c r="T18" s="133"/>
      <c r="U18" s="133"/>
      <c r="V18" s="133"/>
      <c r="W18" s="143"/>
      <c r="X18" s="133"/>
      <c r="Y18" s="133"/>
      <c r="Z18" s="143"/>
      <c r="AA18" s="133"/>
      <c r="AB18" s="269"/>
      <c r="AC18" s="269"/>
      <c r="AD18" s="269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58"/>
      <c r="AQ18" s="270"/>
      <c r="AS18" s="58" t="str">
        <f>B112</f>
        <v>Kiinteät rakenteet ja laitteet yhteensä</v>
      </c>
      <c r="AT18" s="88">
        <f>M112</f>
        <v>-696034.19</v>
      </c>
      <c r="AU18" s="88">
        <f>N112</f>
        <v>-2973200</v>
      </c>
      <c r="AV18" s="88">
        <f t="shared" ref="AV18:AW18" si="15">O112</f>
        <v>487950</v>
      </c>
      <c r="AW18" s="88">
        <f t="shared" si="15"/>
        <v>-2485250</v>
      </c>
      <c r="AX18" s="88">
        <f>Q112</f>
        <v>-375392.61</v>
      </c>
      <c r="AY18" s="123">
        <f>AQ112</f>
        <v>-1973050</v>
      </c>
      <c r="AZ18" s="88">
        <f t="shared" si="2"/>
        <v>512200</v>
      </c>
      <c r="BA18" s="58"/>
      <c r="BB18" s="58"/>
    </row>
    <row r="19" spans="1:72" s="27" customFormat="1" ht="12.75" customHeight="1" x14ac:dyDescent="0.2">
      <c r="A19" s="1"/>
      <c r="B19" s="262" t="s">
        <v>18</v>
      </c>
      <c r="C19" s="263"/>
      <c r="D19" s="264"/>
      <c r="E19" s="264"/>
      <c r="F19" s="264"/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279"/>
      <c r="R19" s="279"/>
      <c r="S19" s="280"/>
      <c r="T19" s="279"/>
      <c r="U19" s="279"/>
      <c r="V19" s="279"/>
      <c r="W19" s="281"/>
      <c r="X19" s="279"/>
      <c r="Y19" s="279"/>
      <c r="Z19" s="281"/>
      <c r="AA19" s="279"/>
      <c r="AB19" s="282"/>
      <c r="AC19" s="282"/>
      <c r="AD19" s="282"/>
      <c r="AE19" s="279"/>
      <c r="AF19" s="279"/>
      <c r="AG19" s="279"/>
      <c r="AH19" s="279"/>
      <c r="AI19" s="279"/>
      <c r="AJ19" s="279"/>
      <c r="AK19" s="279"/>
      <c r="AL19" s="279"/>
      <c r="AM19" s="279"/>
      <c r="AN19" s="279"/>
      <c r="AO19" s="279"/>
      <c r="AP19" s="58"/>
      <c r="AQ19" s="283"/>
      <c r="AR19" s="1"/>
      <c r="AS19" s="58" t="str">
        <f>B117</f>
        <v>Koneet ja kalusto yhteensä</v>
      </c>
      <c r="AT19" s="88">
        <f>M117</f>
        <v>0</v>
      </c>
      <c r="AU19" s="88">
        <f>N117</f>
        <v>0</v>
      </c>
      <c r="AV19" s="88">
        <f t="shared" ref="AV19:AW19" si="16">O117</f>
        <v>0</v>
      </c>
      <c r="AW19" s="88">
        <f t="shared" si="16"/>
        <v>0</v>
      </c>
      <c r="AX19" s="88">
        <f>Q117</f>
        <v>0</v>
      </c>
      <c r="AY19" s="123">
        <f>AQ117</f>
        <v>0</v>
      </c>
      <c r="AZ19" s="88">
        <f t="shared" si="2"/>
        <v>0</v>
      </c>
      <c r="BA19" s="58"/>
      <c r="BB19" s="58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</row>
    <row r="20" spans="1:72" ht="12.75" customHeight="1" x14ac:dyDescent="0.2">
      <c r="B20" s="134" t="s">
        <v>166</v>
      </c>
      <c r="C20" s="135" t="s">
        <v>7</v>
      </c>
      <c r="D20" s="136">
        <v>8000</v>
      </c>
      <c r="E20" s="136">
        <v>8200</v>
      </c>
      <c r="F20" s="136"/>
      <c r="G20" s="133">
        <f>SUM(I20,K20,M20,N20,U20:AA20)</f>
        <v>-665823</v>
      </c>
      <c r="H20" s="133">
        <v>-490000</v>
      </c>
      <c r="I20" s="133">
        <v>-390000</v>
      </c>
      <c r="J20" s="133">
        <v>-276000</v>
      </c>
      <c r="K20" s="133">
        <v>-275822</v>
      </c>
      <c r="L20" s="133">
        <f>-300000-1020500+1020500+125000</f>
        <v>-175000</v>
      </c>
      <c r="M20" s="133">
        <v>-1</v>
      </c>
      <c r="N20" s="133">
        <v>0</v>
      </c>
      <c r="O20" s="133">
        <v>0</v>
      </c>
      <c r="P20" s="133">
        <f>N20+O20</f>
        <v>0</v>
      </c>
      <c r="Q20" s="133">
        <v>-113604</v>
      </c>
      <c r="R20" s="137">
        <v>0</v>
      </c>
      <c r="S20" s="136"/>
      <c r="T20" s="133"/>
      <c r="U20" s="133">
        <v>0</v>
      </c>
      <c r="V20" s="133"/>
      <c r="W20" s="143"/>
      <c r="X20" s="133">
        <v>0</v>
      </c>
      <c r="Y20" s="133"/>
      <c r="Z20" s="143"/>
      <c r="AA20" s="133">
        <v>0</v>
      </c>
      <c r="AB20" s="269"/>
      <c r="AC20" s="269"/>
      <c r="AD20" s="269"/>
      <c r="AE20" s="133"/>
      <c r="AF20" s="133"/>
      <c r="AG20" s="133"/>
      <c r="AH20" s="133"/>
      <c r="AI20" s="133"/>
      <c r="AJ20" s="277" t="s">
        <v>160</v>
      </c>
      <c r="AK20" s="133"/>
      <c r="AL20" s="133"/>
      <c r="AM20" s="133"/>
      <c r="AN20" s="133"/>
      <c r="AO20" s="133"/>
      <c r="AP20" s="58"/>
      <c r="AQ20" s="270">
        <v>-115000</v>
      </c>
      <c r="AS20" s="89" t="str">
        <f>B119</f>
        <v>Investointikulut</v>
      </c>
      <c r="AT20" s="90">
        <f>M119</f>
        <v>-796243.66999999993</v>
      </c>
      <c r="AU20" s="90">
        <f>N119</f>
        <v>-5488200</v>
      </c>
      <c r="AV20" s="90">
        <f t="shared" ref="AV20:AW20" si="17">O119</f>
        <v>2417950</v>
      </c>
      <c r="AW20" s="90">
        <f t="shared" si="17"/>
        <v>-3070250</v>
      </c>
      <c r="AX20" s="90">
        <f>Q119</f>
        <v>-576755.71</v>
      </c>
      <c r="AY20" s="90">
        <f>AQ119</f>
        <v>-2728050</v>
      </c>
      <c r="AZ20" s="90">
        <f>AY20-AW20</f>
        <v>342200</v>
      </c>
      <c r="BA20" s="58"/>
      <c r="BB20" s="58"/>
    </row>
    <row r="21" spans="1:72" ht="12.75" customHeight="1" x14ac:dyDescent="0.2">
      <c r="B21" s="134" t="s">
        <v>167</v>
      </c>
      <c r="C21" s="135" t="s">
        <v>7</v>
      </c>
      <c r="D21" s="136">
        <v>8001</v>
      </c>
      <c r="E21" s="136">
        <v>8200</v>
      </c>
      <c r="F21" s="136"/>
      <c r="G21" s="133">
        <f>SUM(I21,K21,M21,N21,U21:AA21)</f>
        <v>217034.44</v>
      </c>
      <c r="H21" s="133">
        <v>160000</v>
      </c>
      <c r="I21" s="133">
        <v>33413</v>
      </c>
      <c r="J21" s="133">
        <v>130000</v>
      </c>
      <c r="K21" s="133">
        <v>104786</v>
      </c>
      <c r="L21" s="133">
        <v>100000</v>
      </c>
      <c r="M21" s="133">
        <v>78835.44</v>
      </c>
      <c r="N21" s="133"/>
      <c r="O21" s="133">
        <v>0</v>
      </c>
      <c r="P21" s="133">
        <f>N21+O21</f>
        <v>0</v>
      </c>
      <c r="Q21" s="133">
        <v>9176.07</v>
      </c>
      <c r="R21" s="137">
        <v>0</v>
      </c>
      <c r="S21" s="136"/>
      <c r="T21" s="133"/>
      <c r="U21" s="133"/>
      <c r="V21" s="133"/>
      <c r="W21" s="143"/>
      <c r="X21" s="133"/>
      <c r="Y21" s="133"/>
      <c r="Z21" s="143"/>
      <c r="AA21" s="133"/>
      <c r="AB21" s="269"/>
      <c r="AC21" s="269"/>
      <c r="AD21" s="269"/>
      <c r="AE21" s="133"/>
      <c r="AF21" s="133"/>
      <c r="AG21" s="133"/>
      <c r="AH21" s="133"/>
      <c r="AI21" s="133"/>
      <c r="AJ21" s="277" t="s">
        <v>160</v>
      </c>
      <c r="AK21" s="133"/>
      <c r="AL21" s="133"/>
      <c r="AM21" s="133"/>
      <c r="AN21" s="133"/>
      <c r="AO21" s="133"/>
      <c r="AP21" s="58"/>
      <c r="AQ21" s="270">
        <v>10000</v>
      </c>
      <c r="AS21" s="93" t="str">
        <f>B120</f>
        <v>Investointituotot</v>
      </c>
      <c r="AT21" s="94">
        <f>M120</f>
        <v>125759.87</v>
      </c>
      <c r="AU21" s="94">
        <f>N120</f>
        <v>0</v>
      </c>
      <c r="AV21" s="94">
        <f t="shared" ref="AV21:AW21" si="18">O120</f>
        <v>0</v>
      </c>
      <c r="AW21" s="94">
        <f t="shared" si="18"/>
        <v>0</v>
      </c>
      <c r="AX21" s="94">
        <f>Q120</f>
        <v>9176.07</v>
      </c>
      <c r="AY21" s="94">
        <f>AQ120</f>
        <v>10000</v>
      </c>
      <c r="AZ21" s="94">
        <f>AY21-AW21</f>
        <v>10000</v>
      </c>
      <c r="BA21" s="58"/>
      <c r="BB21" s="58"/>
    </row>
    <row r="22" spans="1:72" ht="12.75" hidden="1" customHeight="1" x14ac:dyDescent="0.2">
      <c r="B22" s="134" t="s">
        <v>168</v>
      </c>
      <c r="C22" s="135"/>
      <c r="D22" s="136">
        <v>8001</v>
      </c>
      <c r="E22" s="136">
        <v>8200</v>
      </c>
      <c r="F22" s="136"/>
      <c r="G22" s="133">
        <f t="shared" ref="G22" si="19">SUM(I22,K22,M22:AA22)</f>
        <v>0</v>
      </c>
      <c r="H22" s="133"/>
      <c r="I22" s="133"/>
      <c r="J22" s="133"/>
      <c r="K22" s="133"/>
      <c r="L22" s="268"/>
      <c r="M22" s="133"/>
      <c r="N22" s="133"/>
      <c r="O22" s="133"/>
      <c r="P22" s="133"/>
      <c r="Q22" s="133"/>
      <c r="R22" s="133"/>
      <c r="S22" s="136"/>
      <c r="T22" s="133"/>
      <c r="U22" s="133"/>
      <c r="V22" s="133"/>
      <c r="W22" s="143"/>
      <c r="X22" s="133"/>
      <c r="Y22" s="133"/>
      <c r="Z22" s="143"/>
      <c r="AA22" s="133"/>
      <c r="AB22" s="269"/>
      <c r="AC22" s="269"/>
      <c r="AD22" s="269"/>
      <c r="AE22" s="133"/>
      <c r="AF22" s="133"/>
      <c r="AG22" s="133"/>
      <c r="AH22" s="133"/>
      <c r="AI22" s="133"/>
      <c r="AJ22" s="277" t="s">
        <v>160</v>
      </c>
      <c r="AK22" s="133"/>
      <c r="AL22" s="133"/>
      <c r="AM22" s="133"/>
      <c r="AN22" s="133"/>
      <c r="AO22" s="133"/>
      <c r="AP22" s="58"/>
      <c r="AQ22" s="270"/>
      <c r="AS22" s="59" t="str">
        <f>B120</f>
        <v>Investointituotot</v>
      </c>
      <c r="AT22" s="59">
        <f>D120</f>
        <v>0</v>
      </c>
      <c r="AU22" s="59">
        <f>C120</f>
        <v>0</v>
      </c>
      <c r="AV22" s="59">
        <f t="shared" ref="AV22:AW22" si="20">D120</f>
        <v>0</v>
      </c>
      <c r="AW22" s="59">
        <f t="shared" si="20"/>
        <v>0</v>
      </c>
      <c r="AX22" s="59">
        <f>E120</f>
        <v>0</v>
      </c>
      <c r="AY22" s="59">
        <f>F120</f>
        <v>0</v>
      </c>
      <c r="AZ22" s="59">
        <f t="shared" ref="AZ22" si="21">AY22-AX22</f>
        <v>0</v>
      </c>
      <c r="BA22" s="58"/>
      <c r="BB22" s="58"/>
    </row>
    <row r="23" spans="1:72" s="57" customFormat="1" ht="12.75" customHeight="1" x14ac:dyDescent="0.2">
      <c r="A23" s="7"/>
      <c r="B23" s="262" t="s">
        <v>23</v>
      </c>
      <c r="C23" s="263"/>
      <c r="D23" s="264"/>
      <c r="E23" s="264"/>
      <c r="F23" s="264"/>
      <c r="G23" s="271">
        <f>SUM(G20:G21)</f>
        <v>-448788.56</v>
      </c>
      <c r="H23" s="271">
        <f t="shared" ref="H23:AO23" si="22">SUM(H20:H21)</f>
        <v>-330000</v>
      </c>
      <c r="I23" s="271">
        <f t="shared" si="22"/>
        <v>-356587</v>
      </c>
      <c r="J23" s="271">
        <f t="shared" si="22"/>
        <v>-146000</v>
      </c>
      <c r="K23" s="271">
        <f t="shared" si="22"/>
        <v>-171036</v>
      </c>
      <c r="L23" s="271">
        <f t="shared" si="22"/>
        <v>-75000</v>
      </c>
      <c r="M23" s="271">
        <f t="shared" si="22"/>
        <v>78834.44</v>
      </c>
      <c r="N23" s="271">
        <f>SUM(N20:N21)</f>
        <v>0</v>
      </c>
      <c r="O23" s="271">
        <f t="shared" ref="O23:Q23" si="23">SUM(O20:O21)</f>
        <v>0</v>
      </c>
      <c r="P23" s="271">
        <f t="shared" si="23"/>
        <v>0</v>
      </c>
      <c r="Q23" s="271">
        <f t="shared" si="23"/>
        <v>-104427.93</v>
      </c>
      <c r="R23" s="272">
        <v>0</v>
      </c>
      <c r="S23" s="271"/>
      <c r="T23" s="271"/>
      <c r="U23" s="271">
        <f t="shared" si="22"/>
        <v>0</v>
      </c>
      <c r="V23" s="271"/>
      <c r="W23" s="266"/>
      <c r="X23" s="271">
        <f t="shared" si="22"/>
        <v>0</v>
      </c>
      <c r="Y23" s="271"/>
      <c r="Z23" s="266"/>
      <c r="AA23" s="271">
        <f t="shared" si="22"/>
        <v>0</v>
      </c>
      <c r="AB23" s="273"/>
      <c r="AC23" s="273"/>
      <c r="AD23" s="273">
        <f t="shared" si="22"/>
        <v>0</v>
      </c>
      <c r="AE23" s="271">
        <f t="shared" si="22"/>
        <v>0</v>
      </c>
      <c r="AF23" s="271">
        <f t="shared" si="22"/>
        <v>0</v>
      </c>
      <c r="AG23" s="271">
        <f t="shared" si="22"/>
        <v>0</v>
      </c>
      <c r="AH23" s="271">
        <f t="shared" si="22"/>
        <v>0</v>
      </c>
      <c r="AI23" s="271">
        <f t="shared" si="22"/>
        <v>0</v>
      </c>
      <c r="AJ23" s="271">
        <f t="shared" si="22"/>
        <v>0</v>
      </c>
      <c r="AK23" s="271">
        <f t="shared" si="22"/>
        <v>0</v>
      </c>
      <c r="AL23" s="271">
        <f t="shared" si="22"/>
        <v>0</v>
      </c>
      <c r="AM23" s="271">
        <f t="shared" si="22"/>
        <v>0</v>
      </c>
      <c r="AN23" s="271">
        <f t="shared" si="22"/>
        <v>0</v>
      </c>
      <c r="AO23" s="271">
        <f t="shared" si="22"/>
        <v>0</v>
      </c>
      <c r="AP23" s="58"/>
      <c r="AQ23" s="274">
        <f>SUM(AQ20:AQ22)</f>
        <v>-105000</v>
      </c>
      <c r="AR23" s="1"/>
      <c r="AS23" s="91" t="str">
        <f>B121</f>
        <v>Investoinnit yhteensä, netto</v>
      </c>
      <c r="AT23" s="92">
        <f>M121</f>
        <v>-670483.79999999993</v>
      </c>
      <c r="AU23" s="92">
        <f>N121</f>
        <v>-5488200</v>
      </c>
      <c r="AV23" s="92">
        <f t="shared" ref="AV23:AW23" si="24">O121</f>
        <v>2417950</v>
      </c>
      <c r="AW23" s="92">
        <f t="shared" si="24"/>
        <v>-3070250</v>
      </c>
      <c r="AX23" s="92">
        <f>Q121</f>
        <v>-567579.64</v>
      </c>
      <c r="AY23" s="92">
        <f>AQ121</f>
        <v>-2718050</v>
      </c>
      <c r="AZ23" s="92">
        <f>AY23-AW23</f>
        <v>352200</v>
      </c>
      <c r="BA23" s="58"/>
      <c r="BB23" s="58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</row>
    <row r="24" spans="1:72" ht="12.75" customHeight="1" x14ac:dyDescent="0.2">
      <c r="B24" s="145"/>
      <c r="C24" s="149"/>
      <c r="D24" s="254"/>
      <c r="E24" s="254"/>
      <c r="F24" s="254"/>
      <c r="G24" s="275"/>
      <c r="H24" s="275"/>
      <c r="I24" s="275"/>
      <c r="J24" s="275"/>
      <c r="K24" s="275"/>
      <c r="L24" s="275"/>
      <c r="M24" s="275"/>
      <c r="N24" s="275"/>
      <c r="O24" s="275"/>
      <c r="P24" s="275"/>
      <c r="Q24" s="275"/>
      <c r="R24" s="275"/>
      <c r="S24" s="254"/>
      <c r="T24" s="275"/>
      <c r="U24" s="275"/>
      <c r="V24" s="275"/>
      <c r="W24" s="255"/>
      <c r="X24" s="275"/>
      <c r="Y24" s="275"/>
      <c r="Z24" s="255"/>
      <c r="AA24" s="275"/>
      <c r="AB24" s="276"/>
      <c r="AC24" s="276"/>
      <c r="AD24" s="276"/>
      <c r="AE24" s="275"/>
      <c r="AF24" s="275"/>
      <c r="AG24" s="275"/>
      <c r="AH24" s="275"/>
      <c r="AI24" s="275"/>
      <c r="AJ24" s="275"/>
      <c r="AK24" s="275"/>
      <c r="AL24" s="275"/>
      <c r="AM24" s="275"/>
      <c r="AN24" s="275"/>
      <c r="AO24" s="275"/>
      <c r="AP24" s="58"/>
      <c r="AQ24" s="274"/>
      <c r="AY24" s="63"/>
      <c r="BA24" s="58"/>
      <c r="BB24" s="58"/>
    </row>
    <row r="25" spans="1:72" s="27" customFormat="1" ht="12.75" customHeight="1" x14ac:dyDescent="0.2">
      <c r="A25" s="1"/>
      <c r="B25" s="262" t="s">
        <v>169</v>
      </c>
      <c r="C25" s="263"/>
      <c r="D25" s="264"/>
      <c r="E25" s="264"/>
      <c r="F25" s="264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279"/>
      <c r="R25" s="279"/>
      <c r="S25" s="280"/>
      <c r="T25" s="279"/>
      <c r="U25" s="279"/>
      <c r="V25" s="279"/>
      <c r="W25" s="281"/>
      <c r="X25" s="279"/>
      <c r="Y25" s="279"/>
      <c r="Z25" s="281"/>
      <c r="AA25" s="279"/>
      <c r="AB25" s="282"/>
      <c r="AC25" s="282"/>
      <c r="AD25" s="282"/>
      <c r="AE25" s="279"/>
      <c r="AF25" s="279"/>
      <c r="AG25" s="279"/>
      <c r="AH25" s="279"/>
      <c r="AI25" s="279"/>
      <c r="AJ25" s="279"/>
      <c r="AK25" s="279"/>
      <c r="AL25" s="279"/>
      <c r="AM25" s="279"/>
      <c r="AN25" s="279"/>
      <c r="AO25" s="279"/>
      <c r="AP25" s="58"/>
      <c r="AQ25" s="283"/>
      <c r="AR25" s="1"/>
      <c r="AS25" s="58"/>
      <c r="AT25" s="58"/>
      <c r="AU25" s="59"/>
      <c r="AV25" s="59"/>
      <c r="AW25" s="91" t="s">
        <v>170</v>
      </c>
      <c r="AX25" s="120">
        <f>AX23/AW23</f>
        <v>0.18486430746681867</v>
      </c>
      <c r="AY25" s="86"/>
      <c r="AZ25" s="58"/>
      <c r="BA25" s="58"/>
      <c r="BB25" s="58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</row>
    <row r="26" spans="1:72" ht="12.75" customHeight="1" x14ac:dyDescent="0.2">
      <c r="B26" s="134" t="s">
        <v>171</v>
      </c>
      <c r="C26" s="135" t="s">
        <v>172</v>
      </c>
      <c r="D26" s="136">
        <v>8146</v>
      </c>
      <c r="E26" s="136">
        <v>8320</v>
      </c>
      <c r="F26" s="136">
        <v>7210</v>
      </c>
      <c r="G26" s="133">
        <f>SUM(I26,K26,M26,N26,U26:AA26)</f>
        <v>-100000</v>
      </c>
      <c r="H26" s="133"/>
      <c r="I26" s="133"/>
      <c r="J26" s="133">
        <v>0</v>
      </c>
      <c r="K26" s="133">
        <v>0</v>
      </c>
      <c r="L26" s="133"/>
      <c r="M26" s="133"/>
      <c r="N26" s="133">
        <v>-40000</v>
      </c>
      <c r="O26" s="133">
        <v>0</v>
      </c>
      <c r="P26" s="133">
        <f>N26+O26</f>
        <v>-40000</v>
      </c>
      <c r="Q26" s="133">
        <v>-6500</v>
      </c>
      <c r="R26" s="137">
        <f t="shared" ref="R26:R38" si="25">Q26/P26</f>
        <v>0.16250000000000001</v>
      </c>
      <c r="S26" s="140">
        <v>44593</v>
      </c>
      <c r="T26" s="141" t="s">
        <v>173</v>
      </c>
      <c r="U26" s="133">
        <v>-30000</v>
      </c>
      <c r="V26" s="133"/>
      <c r="W26" s="143" t="s">
        <v>174</v>
      </c>
      <c r="X26" s="133">
        <v>-30000</v>
      </c>
      <c r="Y26" s="133"/>
      <c r="Z26" s="143"/>
      <c r="AA26" s="133"/>
      <c r="AB26" s="269"/>
      <c r="AC26" s="269"/>
      <c r="AD26" s="269"/>
      <c r="AE26" s="133"/>
      <c r="AF26" s="133"/>
      <c r="AG26" s="133"/>
      <c r="AH26" s="133"/>
      <c r="AI26" s="133"/>
      <c r="AJ26" s="133"/>
      <c r="AK26" s="133"/>
      <c r="AL26" s="133"/>
      <c r="AM26" s="133">
        <f>G26/20</f>
        <v>-5000</v>
      </c>
      <c r="AN26" s="133"/>
      <c r="AO26" s="133"/>
      <c r="AP26" s="58"/>
      <c r="AQ26" s="270">
        <v>-40000</v>
      </c>
      <c r="AS26" s="58"/>
      <c r="AT26" s="58"/>
      <c r="AU26" s="58"/>
      <c r="AV26" s="58"/>
      <c r="AW26" s="58"/>
      <c r="AX26" s="58"/>
      <c r="AY26" s="58"/>
      <c r="AZ26" s="58"/>
    </row>
    <row r="27" spans="1:72" ht="12.75" hidden="1" customHeight="1" x14ac:dyDescent="0.2">
      <c r="B27" s="134" t="s">
        <v>34</v>
      </c>
      <c r="C27" s="135"/>
      <c r="D27" s="136"/>
      <c r="E27" s="136"/>
      <c r="F27" s="136"/>
      <c r="G27" s="133">
        <f t="shared" ref="G27:G38" si="26">SUM(I27,K27,M27,N27,U27:AA27)</f>
        <v>-32743</v>
      </c>
      <c r="H27" s="133"/>
      <c r="I27" s="133"/>
      <c r="J27" s="133">
        <v>-30000</v>
      </c>
      <c r="K27" s="133">
        <v>-32743</v>
      </c>
      <c r="L27" s="133"/>
      <c r="M27" s="133"/>
      <c r="N27" s="133"/>
      <c r="O27" s="133">
        <v>0</v>
      </c>
      <c r="P27" s="133">
        <f t="shared" ref="P27:P38" si="27">N27+O27</f>
        <v>0</v>
      </c>
      <c r="Q27" s="133"/>
      <c r="R27" s="137" t="e">
        <f t="shared" si="25"/>
        <v>#DIV/0!</v>
      </c>
      <c r="S27" s="136"/>
      <c r="T27" s="141"/>
      <c r="U27" s="133"/>
      <c r="V27" s="133"/>
      <c r="W27" s="143"/>
      <c r="X27" s="133"/>
      <c r="Y27" s="133"/>
      <c r="Z27" s="143"/>
      <c r="AA27" s="133"/>
      <c r="AB27" s="269"/>
      <c r="AC27" s="269"/>
      <c r="AD27" s="269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58"/>
      <c r="AQ27" s="270"/>
      <c r="AS27" s="58"/>
      <c r="AT27" s="58"/>
      <c r="AU27" s="58"/>
      <c r="AV27" s="58"/>
      <c r="AW27" s="58"/>
      <c r="AX27" s="58"/>
      <c r="AY27" s="58"/>
      <c r="AZ27" s="58"/>
    </row>
    <row r="28" spans="1:72" ht="12.75" customHeight="1" x14ac:dyDescent="0.2">
      <c r="B28" s="134" t="s">
        <v>175</v>
      </c>
      <c r="C28" s="135" t="s">
        <v>172</v>
      </c>
      <c r="D28" s="136">
        <v>8121</v>
      </c>
      <c r="E28" s="136">
        <v>8310</v>
      </c>
      <c r="F28" s="136">
        <v>7241</v>
      </c>
      <c r="G28" s="133">
        <f t="shared" si="26"/>
        <v>-94879.5</v>
      </c>
      <c r="H28" s="133"/>
      <c r="I28" s="133"/>
      <c r="J28" s="133"/>
      <c r="K28" s="133"/>
      <c r="L28" s="133">
        <v>-40000</v>
      </c>
      <c r="M28" s="133">
        <v>-39879.5</v>
      </c>
      <c r="N28" s="133">
        <v>-55000</v>
      </c>
      <c r="O28" s="133">
        <v>0</v>
      </c>
      <c r="P28" s="133">
        <f t="shared" si="27"/>
        <v>-55000</v>
      </c>
      <c r="Q28" s="133">
        <v>-14183</v>
      </c>
      <c r="R28" s="137">
        <f t="shared" si="25"/>
        <v>0.25787272727272725</v>
      </c>
      <c r="S28" s="140">
        <v>44593</v>
      </c>
      <c r="T28" s="141" t="s">
        <v>173</v>
      </c>
      <c r="U28" s="133"/>
      <c r="V28" s="133"/>
      <c r="W28" s="143"/>
      <c r="X28" s="133"/>
      <c r="Y28" s="133"/>
      <c r="Z28" s="143"/>
      <c r="AA28" s="133"/>
      <c r="AB28" s="269"/>
      <c r="AC28" s="269"/>
      <c r="AD28" s="269"/>
      <c r="AE28" s="133"/>
      <c r="AF28" s="133"/>
      <c r="AG28" s="133"/>
      <c r="AH28" s="133"/>
      <c r="AI28" s="133"/>
      <c r="AJ28" s="133"/>
      <c r="AK28" s="133">
        <f>G28/20</f>
        <v>-4743.9750000000004</v>
      </c>
      <c r="AL28" s="133"/>
      <c r="AM28" s="133"/>
      <c r="AN28" s="133"/>
      <c r="AO28" s="133"/>
      <c r="AP28" s="58"/>
      <c r="AQ28" s="270">
        <v>-60000</v>
      </c>
      <c r="AS28" s="58"/>
      <c r="AT28" s="58"/>
      <c r="AU28" s="58"/>
      <c r="AV28" s="58"/>
      <c r="AW28" s="58"/>
      <c r="AX28" s="58"/>
      <c r="AY28" s="58"/>
      <c r="AZ28" s="58"/>
    </row>
    <row r="29" spans="1:72" ht="12.75" hidden="1" customHeight="1" x14ac:dyDescent="0.2">
      <c r="B29" s="134" t="s">
        <v>29</v>
      </c>
      <c r="C29" s="135" t="s">
        <v>172</v>
      </c>
      <c r="D29" s="136">
        <v>8147</v>
      </c>
      <c r="E29" s="136"/>
      <c r="F29" s="136"/>
      <c r="G29" s="133">
        <f t="shared" si="26"/>
        <v>52891</v>
      </c>
      <c r="H29" s="284">
        <v>13009</v>
      </c>
      <c r="I29" s="133">
        <v>52891</v>
      </c>
      <c r="J29" s="284"/>
      <c r="K29" s="133"/>
      <c r="L29" s="133"/>
      <c r="M29" s="133"/>
      <c r="N29" s="133"/>
      <c r="O29" s="133">
        <v>0</v>
      </c>
      <c r="P29" s="133">
        <f t="shared" si="27"/>
        <v>0</v>
      </c>
      <c r="Q29" s="133"/>
      <c r="R29" s="137" t="e">
        <f t="shared" si="25"/>
        <v>#DIV/0!</v>
      </c>
      <c r="S29" s="136"/>
      <c r="T29" s="141"/>
      <c r="U29" s="133"/>
      <c r="V29" s="133"/>
      <c r="W29" s="143"/>
      <c r="X29" s="133"/>
      <c r="Y29" s="133"/>
      <c r="Z29" s="143"/>
      <c r="AA29" s="284"/>
      <c r="AB29" s="285"/>
      <c r="AC29" s="285"/>
      <c r="AD29" s="285"/>
      <c r="AE29" s="284"/>
      <c r="AF29" s="284"/>
      <c r="AG29" s="284"/>
      <c r="AH29" s="284"/>
      <c r="AI29" s="284"/>
      <c r="AJ29" s="286" t="s">
        <v>160</v>
      </c>
      <c r="AK29" s="133"/>
      <c r="AL29" s="133"/>
      <c r="AM29" s="133"/>
      <c r="AN29" s="133"/>
      <c r="AO29" s="133"/>
      <c r="AP29" s="58"/>
      <c r="AQ29" s="287"/>
      <c r="AS29" s="58"/>
      <c r="AT29" s="58"/>
      <c r="AU29" s="58"/>
      <c r="AV29" s="58"/>
      <c r="AW29" s="58"/>
      <c r="AX29" s="58"/>
      <c r="AY29" s="58"/>
      <c r="AZ29" s="58"/>
    </row>
    <row r="30" spans="1:72" ht="12.75" customHeight="1" x14ac:dyDescent="0.2">
      <c r="B30" s="134" t="s">
        <v>176</v>
      </c>
      <c r="C30" s="135" t="s">
        <v>172</v>
      </c>
      <c r="D30" s="136">
        <v>8148</v>
      </c>
      <c r="E30" s="136">
        <v>8320</v>
      </c>
      <c r="F30" s="136">
        <v>7216</v>
      </c>
      <c r="G30" s="133">
        <f t="shared" si="26"/>
        <v>92000</v>
      </c>
      <c r="H30" s="133">
        <v>0</v>
      </c>
      <c r="I30" s="133">
        <v>142000</v>
      </c>
      <c r="J30" s="133"/>
      <c r="K30" s="133"/>
      <c r="L30" s="133"/>
      <c r="M30" s="133"/>
      <c r="N30" s="133">
        <v>-50000</v>
      </c>
      <c r="O30" s="133">
        <v>0</v>
      </c>
      <c r="P30" s="133">
        <f t="shared" si="27"/>
        <v>-50000</v>
      </c>
      <c r="Q30" s="133">
        <v>0</v>
      </c>
      <c r="R30" s="137">
        <f t="shared" si="25"/>
        <v>0</v>
      </c>
      <c r="S30" s="288" t="s">
        <v>177</v>
      </c>
      <c r="T30" s="141" t="s">
        <v>173</v>
      </c>
      <c r="U30" s="133"/>
      <c r="V30" s="133"/>
      <c r="W30" s="143"/>
      <c r="X30" s="133"/>
      <c r="Y30" s="133"/>
      <c r="Z30" s="143"/>
      <c r="AA30" s="133"/>
      <c r="AB30" s="269"/>
      <c r="AC30" s="269"/>
      <c r="AD30" s="269"/>
      <c r="AE30" s="133"/>
      <c r="AF30" s="133"/>
      <c r="AG30" s="133"/>
      <c r="AH30" s="133"/>
      <c r="AI30" s="133"/>
      <c r="AJ30" s="133"/>
      <c r="AK30" s="133">
        <f>N30/20</f>
        <v>-2500</v>
      </c>
      <c r="AL30" s="133"/>
      <c r="AM30" s="133"/>
      <c r="AN30" s="133"/>
      <c r="AO30" s="133"/>
      <c r="AP30" s="58"/>
      <c r="AQ30" s="270">
        <v>-50000</v>
      </c>
      <c r="AS30" s="58"/>
      <c r="AT30" s="58"/>
      <c r="AU30" s="58"/>
      <c r="AV30" s="58"/>
      <c r="AW30" s="58"/>
      <c r="AX30" s="58"/>
      <c r="AY30" s="58"/>
      <c r="AZ30" s="58"/>
    </row>
    <row r="31" spans="1:72" ht="12.75" customHeight="1" x14ac:dyDescent="0.2">
      <c r="B31" s="134" t="s">
        <v>178</v>
      </c>
      <c r="C31" s="135" t="s">
        <v>172</v>
      </c>
      <c r="D31" s="136">
        <v>8101</v>
      </c>
      <c r="E31" s="136">
        <v>8320</v>
      </c>
      <c r="F31" s="136">
        <v>7211</v>
      </c>
      <c r="G31" s="133">
        <f t="shared" si="26"/>
        <v>-261264.08000000002</v>
      </c>
      <c r="H31" s="133"/>
      <c r="I31" s="133"/>
      <c r="J31" s="133">
        <v>-110000</v>
      </c>
      <c r="K31" s="133">
        <v>-65048</v>
      </c>
      <c r="L31" s="133">
        <v>-50000</v>
      </c>
      <c r="M31" s="133">
        <v>-56216.08</v>
      </c>
      <c r="N31" s="133">
        <v>-60000</v>
      </c>
      <c r="O31" s="289">
        <v>-60000</v>
      </c>
      <c r="P31" s="289">
        <f t="shared" si="27"/>
        <v>-120000</v>
      </c>
      <c r="Q31" s="133">
        <v>-2281.17</v>
      </c>
      <c r="R31" s="137">
        <f t="shared" si="25"/>
        <v>1.9009750000000002E-2</v>
      </c>
      <c r="S31" s="140">
        <v>44593</v>
      </c>
      <c r="T31" s="141" t="s">
        <v>173</v>
      </c>
      <c r="U31" s="133">
        <v>-50000</v>
      </c>
      <c r="V31" s="133"/>
      <c r="W31" s="143" t="s">
        <v>174</v>
      </c>
      <c r="X31" s="133">
        <v>-30000</v>
      </c>
      <c r="Y31" s="133"/>
      <c r="Z31" s="143"/>
      <c r="AA31" s="133"/>
      <c r="AB31" s="269"/>
      <c r="AC31" s="269"/>
      <c r="AD31" s="269"/>
      <c r="AE31" s="133"/>
      <c r="AF31" s="133"/>
      <c r="AG31" s="133"/>
      <c r="AH31" s="133"/>
      <c r="AI31" s="133"/>
      <c r="AJ31" s="133"/>
      <c r="AK31" s="133"/>
      <c r="AL31" s="133"/>
      <c r="AM31" s="133">
        <f>G31/20</f>
        <v>-13063.204000000002</v>
      </c>
      <c r="AN31" s="133"/>
      <c r="AO31" s="133"/>
      <c r="AP31" s="58"/>
      <c r="AQ31" s="270">
        <v>-120000</v>
      </c>
      <c r="AS31" s="58"/>
      <c r="AT31" s="58"/>
      <c r="AW31" s="58"/>
      <c r="AX31" s="58"/>
      <c r="AY31" s="58"/>
      <c r="AZ31" s="58"/>
    </row>
    <row r="32" spans="1:72" ht="12.75" customHeight="1" x14ac:dyDescent="0.2">
      <c r="B32" s="134" t="s">
        <v>179</v>
      </c>
      <c r="C32" s="135" t="s">
        <v>172</v>
      </c>
      <c r="D32" s="136">
        <v>8102</v>
      </c>
      <c r="E32" s="136">
        <v>8320</v>
      </c>
      <c r="F32" s="136">
        <v>7212</v>
      </c>
      <c r="G32" s="133">
        <f t="shared" si="26"/>
        <v>-228764</v>
      </c>
      <c r="H32" s="133"/>
      <c r="I32" s="133"/>
      <c r="J32" s="133">
        <v>-30000</v>
      </c>
      <c r="K32" s="133">
        <v>-18764</v>
      </c>
      <c r="L32" s="133"/>
      <c r="M32" s="133"/>
      <c r="N32" s="133">
        <v>-50000</v>
      </c>
      <c r="O32" s="133">
        <v>0</v>
      </c>
      <c r="P32" s="133">
        <f t="shared" si="27"/>
        <v>-50000</v>
      </c>
      <c r="Q32" s="133">
        <v>-21208.18</v>
      </c>
      <c r="R32" s="137">
        <f t="shared" si="25"/>
        <v>0.42416360000000003</v>
      </c>
      <c r="S32" s="140">
        <v>44593</v>
      </c>
      <c r="T32" s="141" t="s">
        <v>173</v>
      </c>
      <c r="U32" s="133">
        <v>-75000</v>
      </c>
      <c r="V32" s="133"/>
      <c r="W32" s="143" t="s">
        <v>180</v>
      </c>
      <c r="X32" s="133">
        <v>-85000</v>
      </c>
      <c r="Y32" s="133"/>
      <c r="Z32" s="143"/>
      <c r="AA32" s="133"/>
      <c r="AB32" s="269"/>
      <c r="AC32" s="269"/>
      <c r="AD32" s="269"/>
      <c r="AE32" s="133"/>
      <c r="AF32" s="133"/>
      <c r="AG32" s="133"/>
      <c r="AH32" s="133"/>
      <c r="AI32" s="133"/>
      <c r="AJ32" s="133"/>
      <c r="AK32" s="133"/>
      <c r="AL32" s="133"/>
      <c r="AM32" s="133">
        <f>G32/20</f>
        <v>-11438.2</v>
      </c>
      <c r="AN32" s="133"/>
      <c r="AO32" s="133"/>
      <c r="AP32" s="58"/>
      <c r="AQ32" s="270">
        <v>-50000</v>
      </c>
      <c r="AS32" s="58"/>
      <c r="AT32" s="58"/>
      <c r="AU32" s="58"/>
      <c r="AV32" s="58"/>
      <c r="AW32" s="58"/>
      <c r="AX32" s="58"/>
      <c r="AY32" s="58"/>
      <c r="AZ32" s="58"/>
    </row>
    <row r="33" spans="1:71" ht="12.75" customHeight="1" x14ac:dyDescent="0.2">
      <c r="B33" s="134" t="s">
        <v>181</v>
      </c>
      <c r="C33" s="135" t="s">
        <v>172</v>
      </c>
      <c r="D33" s="136">
        <v>8149</v>
      </c>
      <c r="E33" s="136">
        <v>8320</v>
      </c>
      <c r="F33" s="136">
        <v>7215</v>
      </c>
      <c r="G33" s="133">
        <f t="shared" si="26"/>
        <v>-40000</v>
      </c>
      <c r="H33" s="133"/>
      <c r="I33" s="133"/>
      <c r="J33" s="133"/>
      <c r="K33" s="133"/>
      <c r="L33" s="133"/>
      <c r="M33" s="133"/>
      <c r="N33" s="133">
        <v>-10000</v>
      </c>
      <c r="O33" s="133">
        <v>0</v>
      </c>
      <c r="P33" s="133">
        <f t="shared" si="27"/>
        <v>-10000</v>
      </c>
      <c r="Q33" s="133">
        <v>-2500</v>
      </c>
      <c r="R33" s="137">
        <f t="shared" si="25"/>
        <v>0.25</v>
      </c>
      <c r="S33" s="140">
        <v>44593</v>
      </c>
      <c r="T33" s="141" t="s">
        <v>173</v>
      </c>
      <c r="U33" s="133">
        <v>-20000</v>
      </c>
      <c r="V33" s="133"/>
      <c r="W33" s="143" t="s">
        <v>180</v>
      </c>
      <c r="X33" s="133">
        <v>-10000</v>
      </c>
      <c r="Y33" s="133"/>
      <c r="Z33" s="143"/>
      <c r="AA33" s="133"/>
      <c r="AB33" s="269"/>
      <c r="AC33" s="269"/>
      <c r="AD33" s="269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58"/>
      <c r="AQ33" s="270">
        <v>-10000</v>
      </c>
      <c r="AS33" s="58"/>
      <c r="AT33" s="58"/>
      <c r="AU33" s="58"/>
      <c r="AV33" s="58"/>
      <c r="AW33" s="58"/>
      <c r="AX33" s="58"/>
      <c r="AY33" s="58"/>
      <c r="AZ33" s="58"/>
    </row>
    <row r="34" spans="1:71" ht="12.75" customHeight="1" x14ac:dyDescent="0.2">
      <c r="B34" s="134" t="s">
        <v>182</v>
      </c>
      <c r="C34" s="135" t="s">
        <v>172</v>
      </c>
      <c r="D34" s="136">
        <v>8150</v>
      </c>
      <c r="E34" s="136">
        <v>8310</v>
      </c>
      <c r="F34" s="136">
        <v>7240</v>
      </c>
      <c r="G34" s="133">
        <f t="shared" si="26"/>
        <v>-10000</v>
      </c>
      <c r="H34" s="133"/>
      <c r="I34" s="133"/>
      <c r="J34" s="133"/>
      <c r="K34" s="133"/>
      <c r="L34" s="133"/>
      <c r="M34" s="133"/>
      <c r="N34" s="133">
        <v>-10000</v>
      </c>
      <c r="O34" s="133">
        <v>0</v>
      </c>
      <c r="P34" s="133">
        <f t="shared" si="27"/>
        <v>-10000</v>
      </c>
      <c r="Q34" s="133">
        <v>-3500</v>
      </c>
      <c r="R34" s="137">
        <f t="shared" si="25"/>
        <v>0.35</v>
      </c>
      <c r="S34" s="140">
        <v>44593</v>
      </c>
      <c r="T34" s="141" t="s">
        <v>173</v>
      </c>
      <c r="U34" s="133"/>
      <c r="V34" s="133"/>
      <c r="W34" s="143"/>
      <c r="X34" s="133"/>
      <c r="Y34" s="133"/>
      <c r="Z34" s="143"/>
      <c r="AA34" s="133"/>
      <c r="AB34" s="269"/>
      <c r="AC34" s="269"/>
      <c r="AD34" s="269"/>
      <c r="AE34" s="133"/>
      <c r="AF34" s="133"/>
      <c r="AG34" s="133"/>
      <c r="AH34" s="133"/>
      <c r="AI34" s="133"/>
      <c r="AJ34" s="133"/>
      <c r="AK34" s="133">
        <f>G34/20</f>
        <v>-500</v>
      </c>
      <c r="AL34" s="133"/>
      <c r="AM34" s="133"/>
      <c r="AN34" s="133"/>
      <c r="AO34" s="133"/>
      <c r="AP34" s="58"/>
      <c r="AQ34" s="270">
        <v>-10000</v>
      </c>
      <c r="AS34" s="58" t="s">
        <v>183</v>
      </c>
      <c r="AT34" s="86"/>
      <c r="AU34" s="107"/>
      <c r="AV34" s="107"/>
      <c r="AW34" s="86"/>
      <c r="AX34" s="86"/>
      <c r="AY34" s="58"/>
      <c r="AZ34" s="58"/>
    </row>
    <row r="35" spans="1:71" ht="25.5" customHeight="1" x14ac:dyDescent="0.2">
      <c r="B35" s="134" t="s">
        <v>184</v>
      </c>
      <c r="C35" s="135" t="s">
        <v>172</v>
      </c>
      <c r="D35" s="136">
        <v>8151</v>
      </c>
      <c r="E35" s="136">
        <v>8320</v>
      </c>
      <c r="F35" s="136">
        <v>7213</v>
      </c>
      <c r="G35" s="133">
        <f t="shared" si="26"/>
        <v>-80000</v>
      </c>
      <c r="H35" s="133"/>
      <c r="I35" s="133"/>
      <c r="J35" s="133"/>
      <c r="K35" s="133"/>
      <c r="L35" s="133"/>
      <c r="M35" s="133"/>
      <c r="N35" s="133">
        <v>-40000</v>
      </c>
      <c r="O35" s="133">
        <v>0</v>
      </c>
      <c r="P35" s="133">
        <f t="shared" si="27"/>
        <v>-40000</v>
      </c>
      <c r="Q35" s="133">
        <v>-13100.35</v>
      </c>
      <c r="R35" s="137">
        <f t="shared" si="25"/>
        <v>0.32750875000000002</v>
      </c>
      <c r="S35" s="140">
        <v>44593</v>
      </c>
      <c r="T35" s="141" t="s">
        <v>173</v>
      </c>
      <c r="U35" s="133">
        <v>-30000</v>
      </c>
      <c r="V35" s="133"/>
      <c r="W35" s="143" t="s">
        <v>174</v>
      </c>
      <c r="X35" s="133"/>
      <c r="Y35" s="133"/>
      <c r="Z35" s="143"/>
      <c r="AA35" s="133">
        <v>-10000</v>
      </c>
      <c r="AB35" s="269"/>
      <c r="AC35" s="269"/>
      <c r="AD35" s="269"/>
      <c r="AE35" s="133"/>
      <c r="AF35" s="133"/>
      <c r="AG35" s="133"/>
      <c r="AH35" s="133"/>
      <c r="AI35" s="133"/>
      <c r="AJ35" s="133"/>
      <c r="AK35" s="133"/>
      <c r="AL35" s="133">
        <f>(N35+U35)/20</f>
        <v>-3500</v>
      </c>
      <c r="AM35" s="133"/>
      <c r="AN35" s="133"/>
      <c r="AO35" s="133"/>
      <c r="AP35" s="58"/>
      <c r="AQ35" s="270">
        <v>-40000</v>
      </c>
      <c r="AS35" s="108" t="s">
        <v>185</v>
      </c>
      <c r="AT35" s="108"/>
      <c r="AU35" s="109" t="s">
        <v>186</v>
      </c>
      <c r="AV35" s="109" t="s">
        <v>147</v>
      </c>
      <c r="AW35" s="109" t="s">
        <v>148</v>
      </c>
      <c r="AX35" s="246" t="s">
        <v>149</v>
      </c>
      <c r="AY35" s="246" t="s">
        <v>150</v>
      </c>
      <c r="AZ35" s="58"/>
      <c r="BA35" s="58"/>
    </row>
    <row r="36" spans="1:71" ht="12.75" hidden="1" customHeight="1" x14ac:dyDescent="0.2">
      <c r="B36" s="134" t="s">
        <v>187</v>
      </c>
      <c r="C36" s="135" t="s">
        <v>172</v>
      </c>
      <c r="D36" s="136">
        <v>8004</v>
      </c>
      <c r="E36" s="136" t="s">
        <v>188</v>
      </c>
      <c r="F36" s="136" t="s">
        <v>189</v>
      </c>
      <c r="G36" s="133">
        <f t="shared" si="26"/>
        <v>-4112.8999999999996</v>
      </c>
      <c r="H36" s="133"/>
      <c r="I36" s="133"/>
      <c r="J36" s="133"/>
      <c r="K36" s="133"/>
      <c r="L36" s="133">
        <v>-10000</v>
      </c>
      <c r="M36" s="133">
        <v>-4112.8999999999996</v>
      </c>
      <c r="N36" s="133"/>
      <c r="O36" s="133">
        <v>0</v>
      </c>
      <c r="P36" s="133">
        <f t="shared" si="27"/>
        <v>0</v>
      </c>
      <c r="Q36" s="133"/>
      <c r="R36" s="137" t="e">
        <f t="shared" si="25"/>
        <v>#DIV/0!</v>
      </c>
      <c r="S36" s="290"/>
      <c r="T36" s="291"/>
      <c r="U36" s="133"/>
      <c r="V36" s="133"/>
      <c r="W36" s="143"/>
      <c r="X36" s="133"/>
      <c r="Y36" s="133"/>
      <c r="Z36" s="143"/>
      <c r="AA36" s="133"/>
      <c r="AB36" s="269"/>
      <c r="AC36" s="269"/>
      <c r="AD36" s="269"/>
      <c r="AE36" s="133"/>
      <c r="AF36" s="133"/>
      <c r="AG36" s="133"/>
      <c r="AH36" s="133"/>
      <c r="AI36" s="133"/>
      <c r="AJ36" s="133" t="s">
        <v>158</v>
      </c>
      <c r="AK36" s="133"/>
      <c r="AL36" s="133"/>
      <c r="AM36" s="133"/>
      <c r="AN36" s="133"/>
      <c r="AO36" s="133"/>
      <c r="AP36" s="58"/>
      <c r="AQ36" s="270"/>
      <c r="AS36" s="58" t="s">
        <v>5</v>
      </c>
      <c r="AT36" s="58"/>
      <c r="AU36" s="88">
        <f>N8</f>
        <v>0</v>
      </c>
      <c r="AV36" s="88">
        <f>O8</f>
        <v>0</v>
      </c>
      <c r="AW36" s="88">
        <f>P8</f>
        <v>0</v>
      </c>
      <c r="AX36" s="103">
        <f>Q8</f>
        <v>0</v>
      </c>
      <c r="AY36" s="110">
        <v>0</v>
      </c>
      <c r="AZ36" s="58"/>
      <c r="BA36" s="58"/>
    </row>
    <row r="37" spans="1:71" ht="12.75" customHeight="1" x14ac:dyDescent="0.2">
      <c r="B37" s="134" t="s">
        <v>190</v>
      </c>
      <c r="C37" s="135" t="s">
        <v>172</v>
      </c>
      <c r="D37" s="136">
        <v>8152</v>
      </c>
      <c r="E37" s="136">
        <v>8340</v>
      </c>
      <c r="F37" s="136">
        <v>7287</v>
      </c>
      <c r="G37" s="133">
        <f t="shared" si="26"/>
        <v>-2000000</v>
      </c>
      <c r="H37" s="133"/>
      <c r="I37" s="133"/>
      <c r="J37" s="133"/>
      <c r="K37" s="133"/>
      <c r="L37" s="133"/>
      <c r="M37" s="133"/>
      <c r="N37" s="133">
        <v>-2000000</v>
      </c>
      <c r="O37" s="419">
        <v>2000000</v>
      </c>
      <c r="P37" s="133">
        <f t="shared" si="27"/>
        <v>0</v>
      </c>
      <c r="Q37" s="133">
        <v>0</v>
      </c>
      <c r="R37" s="137">
        <v>0</v>
      </c>
      <c r="S37" s="292">
        <v>44774</v>
      </c>
      <c r="T37" s="291"/>
      <c r="U37" s="133"/>
      <c r="V37" s="133"/>
      <c r="W37" s="143"/>
      <c r="X37" s="133"/>
      <c r="Y37" s="133"/>
      <c r="Z37" s="143"/>
      <c r="AA37" s="133"/>
      <c r="AB37" s="269"/>
      <c r="AC37" s="269"/>
      <c r="AD37" s="269"/>
      <c r="AE37" s="133"/>
      <c r="AF37" s="133"/>
      <c r="AG37" s="133"/>
      <c r="AH37" s="133"/>
      <c r="AI37" s="133"/>
      <c r="AJ37" s="133"/>
      <c r="AK37" s="133">
        <f>N37/20</f>
        <v>-100000</v>
      </c>
      <c r="AL37" s="133"/>
      <c r="AM37" s="133"/>
      <c r="AN37" s="133"/>
      <c r="AO37" s="133"/>
      <c r="AP37" s="58"/>
      <c r="AQ37" s="270"/>
      <c r="AS37" s="58" t="s">
        <v>121</v>
      </c>
      <c r="AT37" s="58"/>
      <c r="AU37" s="88">
        <f>N17</f>
        <v>0</v>
      </c>
      <c r="AV37" s="88">
        <f>O17</f>
        <v>0</v>
      </c>
      <c r="AW37" s="88">
        <f>P17</f>
        <v>0</v>
      </c>
      <c r="AX37" s="88">
        <f>Q17</f>
        <v>0</v>
      </c>
      <c r="AY37" s="121">
        <v>0</v>
      </c>
      <c r="AZ37" s="58"/>
      <c r="BA37" s="58"/>
    </row>
    <row r="38" spans="1:71" ht="12.75" customHeight="1" x14ac:dyDescent="0.2">
      <c r="B38" s="293" t="s">
        <v>191</v>
      </c>
      <c r="C38" s="135" t="s">
        <v>172</v>
      </c>
      <c r="D38" s="136">
        <v>8153</v>
      </c>
      <c r="E38" s="136">
        <v>8410</v>
      </c>
      <c r="F38" s="136">
        <v>7150</v>
      </c>
      <c r="G38" s="133">
        <f t="shared" si="26"/>
        <v>-200000</v>
      </c>
      <c r="H38" s="133"/>
      <c r="I38" s="133"/>
      <c r="J38" s="133"/>
      <c r="K38" s="133"/>
      <c r="L38" s="133"/>
      <c r="M38" s="133"/>
      <c r="N38" s="133">
        <v>-200000</v>
      </c>
      <c r="O38" s="133">
        <v>0</v>
      </c>
      <c r="P38" s="133">
        <f t="shared" si="27"/>
        <v>-200000</v>
      </c>
      <c r="Q38" s="133">
        <v>-15908.85</v>
      </c>
      <c r="R38" s="137">
        <f t="shared" si="25"/>
        <v>7.9544249999999997E-2</v>
      </c>
      <c r="S38" s="292">
        <v>44682</v>
      </c>
      <c r="T38" s="141" t="s">
        <v>192</v>
      </c>
      <c r="U38" s="133"/>
      <c r="V38" s="133"/>
      <c r="W38" s="143"/>
      <c r="X38" s="133"/>
      <c r="Y38" s="133"/>
      <c r="Z38" s="143"/>
      <c r="AA38" s="133"/>
      <c r="AB38" s="269"/>
      <c r="AC38" s="269"/>
      <c r="AD38" s="269"/>
      <c r="AE38" s="133"/>
      <c r="AF38" s="133"/>
      <c r="AG38" s="133"/>
      <c r="AH38" s="133"/>
      <c r="AI38" s="133"/>
      <c r="AJ38" s="133"/>
      <c r="AK38" s="133">
        <f>N38/20</f>
        <v>-10000</v>
      </c>
      <c r="AL38" s="133"/>
      <c r="AM38" s="133"/>
      <c r="AN38" s="133"/>
      <c r="AO38" s="133"/>
      <c r="AP38" s="58"/>
      <c r="AQ38" s="270">
        <v>-250000</v>
      </c>
      <c r="AS38" s="58" t="s">
        <v>193</v>
      </c>
      <c r="AT38" s="58"/>
      <c r="AU38" s="88">
        <f t="shared" ref="AU38:AX39" si="28">N20</f>
        <v>0</v>
      </c>
      <c r="AV38" s="88">
        <f t="shared" si="28"/>
        <v>0</v>
      </c>
      <c r="AW38" s="88">
        <f t="shared" si="28"/>
        <v>0</v>
      </c>
      <c r="AX38" s="88">
        <f t="shared" si="28"/>
        <v>-113604</v>
      </c>
      <c r="AY38" s="121">
        <v>0</v>
      </c>
      <c r="AZ38" s="58"/>
      <c r="BA38" s="58"/>
    </row>
    <row r="39" spans="1:71" ht="12.75" hidden="1" customHeight="1" x14ac:dyDescent="0.2">
      <c r="B39" s="293" t="s">
        <v>194</v>
      </c>
      <c r="C39" s="135"/>
      <c r="D39" s="136"/>
      <c r="E39" s="136"/>
      <c r="F39" s="136"/>
      <c r="G39" s="133">
        <f t="shared" ref="G39" si="29">SUM(I39,K39,M39:AA39)</f>
        <v>-21240</v>
      </c>
      <c r="H39" s="133">
        <v>0</v>
      </c>
      <c r="I39" s="133">
        <v>-21240</v>
      </c>
      <c r="J39" s="133"/>
      <c r="K39" s="133"/>
      <c r="L39" s="133"/>
      <c r="M39" s="133"/>
      <c r="N39" s="133"/>
      <c r="O39" s="133"/>
      <c r="P39" s="133"/>
      <c r="Q39" s="133"/>
      <c r="R39" s="133"/>
      <c r="S39" s="136"/>
      <c r="T39" s="133"/>
      <c r="U39" s="133"/>
      <c r="V39" s="133"/>
      <c r="W39" s="143"/>
      <c r="X39" s="133"/>
      <c r="Y39" s="133"/>
      <c r="Z39" s="143"/>
      <c r="AA39" s="133"/>
      <c r="AB39" s="269"/>
      <c r="AC39" s="269"/>
      <c r="AD39" s="269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58"/>
      <c r="AQ39" s="270"/>
      <c r="AS39" s="58" t="s">
        <v>195</v>
      </c>
      <c r="AT39" s="58"/>
      <c r="AU39" s="88">
        <f t="shared" si="28"/>
        <v>0</v>
      </c>
      <c r="AV39" s="88">
        <f t="shared" si="28"/>
        <v>0</v>
      </c>
      <c r="AW39" s="88">
        <f t="shared" si="28"/>
        <v>0</v>
      </c>
      <c r="AX39" s="88">
        <f t="shared" si="28"/>
        <v>9176.07</v>
      </c>
      <c r="AY39" s="121">
        <v>0</v>
      </c>
      <c r="AZ39" s="58"/>
      <c r="BA39" s="58"/>
    </row>
    <row r="40" spans="1:71" s="57" customFormat="1" ht="12.75" customHeight="1" x14ac:dyDescent="0.2">
      <c r="A40" s="7"/>
      <c r="B40" s="293" t="s">
        <v>196</v>
      </c>
      <c r="C40" s="135"/>
      <c r="D40" s="136">
        <v>8174</v>
      </c>
      <c r="E40" s="136"/>
      <c r="F40" s="136"/>
      <c r="G40" s="133">
        <f t="shared" ref="G40" si="30">SUM(I40,K40,M40,N40,U40:AA40)</f>
        <v>0</v>
      </c>
      <c r="H40" s="133"/>
      <c r="I40" s="133"/>
      <c r="J40" s="133"/>
      <c r="K40" s="133"/>
      <c r="L40" s="133"/>
      <c r="M40" s="133"/>
      <c r="N40" s="133">
        <v>0</v>
      </c>
      <c r="O40" s="289">
        <v>-10000</v>
      </c>
      <c r="P40" s="289">
        <f t="shared" ref="P40" si="31">N40+O40</f>
        <v>-10000</v>
      </c>
      <c r="Q40" s="133">
        <v>-8577.5499999999993</v>
      </c>
      <c r="R40" s="137">
        <v>0</v>
      </c>
      <c r="S40" s="140">
        <v>44743</v>
      </c>
      <c r="T40" s="140">
        <v>44926</v>
      </c>
      <c r="U40" s="133"/>
      <c r="V40" s="133"/>
      <c r="W40" s="143"/>
      <c r="X40" s="133"/>
      <c r="Y40" s="133"/>
      <c r="Z40" s="143"/>
      <c r="AA40" s="133"/>
      <c r="AB40" s="269"/>
      <c r="AC40" s="269"/>
      <c r="AD40" s="269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58"/>
      <c r="AQ40" s="270">
        <v>-10000</v>
      </c>
      <c r="AR40" s="1"/>
      <c r="AS40" s="58" t="s">
        <v>169</v>
      </c>
      <c r="AT40" s="58"/>
      <c r="AU40" s="88">
        <f>N41</f>
        <v>-2515000</v>
      </c>
      <c r="AV40" s="88">
        <f>O41</f>
        <v>1930000</v>
      </c>
      <c r="AW40" s="88">
        <f>P41</f>
        <v>-585000</v>
      </c>
      <c r="AX40" s="88">
        <f>Q41</f>
        <v>-87759.1</v>
      </c>
      <c r="AY40" s="121">
        <f t="shared" ref="AY40:AY44" si="32">AX40/AW40</f>
        <v>0.15001555555555557</v>
      </c>
      <c r="AZ40" s="58"/>
      <c r="BA40" s="58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</row>
    <row r="41" spans="1:71" s="7" customFormat="1" ht="12.75" customHeight="1" x14ac:dyDescent="0.2">
      <c r="B41" s="262" t="s">
        <v>197</v>
      </c>
      <c r="C41" s="263"/>
      <c r="D41" s="264"/>
      <c r="E41" s="264"/>
      <c r="F41" s="264"/>
      <c r="G41" s="271">
        <f t="shared" ref="G41:L41" si="33">SUM(G26,G28,G30,G31,G32,G33,G34,G35,G37,G38)</f>
        <v>-2922907.58</v>
      </c>
      <c r="H41" s="271">
        <f t="shared" si="33"/>
        <v>0</v>
      </c>
      <c r="I41" s="271">
        <f t="shared" si="33"/>
        <v>142000</v>
      </c>
      <c r="J41" s="271">
        <f t="shared" si="33"/>
        <v>-140000</v>
      </c>
      <c r="K41" s="271">
        <f t="shared" si="33"/>
        <v>-83812</v>
      </c>
      <c r="L41" s="271">
        <f t="shared" si="33"/>
        <v>-90000</v>
      </c>
      <c r="M41" s="271">
        <f>SUM(M26:M38)</f>
        <v>-100208.48</v>
      </c>
      <c r="N41" s="271">
        <f>SUM(N26:N40)</f>
        <v>-2515000</v>
      </c>
      <c r="O41" s="271">
        <f>SUM(O26:O40)</f>
        <v>1930000</v>
      </c>
      <c r="P41" s="271">
        <f>SUM(P26:P40)</f>
        <v>-585000</v>
      </c>
      <c r="Q41" s="271">
        <f>SUM(Q26:Q40)</f>
        <v>-87759.1</v>
      </c>
      <c r="R41" s="272">
        <f t="shared" ref="R41" si="34">Q41/P41</f>
        <v>0.15001555555555557</v>
      </c>
      <c r="S41" s="271"/>
      <c r="T41" s="271"/>
      <c r="U41" s="271">
        <f>SUM(U26,U28,U30,U31,U32,U33,U34,U35,U37,U38)</f>
        <v>-205000</v>
      </c>
      <c r="V41" s="271"/>
      <c r="W41" s="266"/>
      <c r="X41" s="271">
        <f>SUM(X26,X28,X30,X31,X32,X33,X34,X35,X37,X38)</f>
        <v>-155000</v>
      </c>
      <c r="Y41" s="271"/>
      <c r="Z41" s="266"/>
      <c r="AA41" s="271">
        <f>SUM(AA26,AA28,AA30,AA31,AA32,AA33,AA34,AA35,AA37,AA38)</f>
        <v>-10000</v>
      </c>
      <c r="AB41" s="273"/>
      <c r="AC41" s="273"/>
      <c r="AD41" s="273">
        <f t="shared" ref="AD41:AO41" si="35">SUM(AD26:AD39)</f>
        <v>0</v>
      </c>
      <c r="AE41" s="271">
        <f t="shared" si="35"/>
        <v>0</v>
      </c>
      <c r="AF41" s="271">
        <f t="shared" si="35"/>
        <v>0</v>
      </c>
      <c r="AG41" s="271">
        <f t="shared" si="35"/>
        <v>0</v>
      </c>
      <c r="AH41" s="271">
        <f t="shared" si="35"/>
        <v>0</v>
      </c>
      <c r="AI41" s="271">
        <f t="shared" si="35"/>
        <v>0</v>
      </c>
      <c r="AJ41" s="271">
        <f t="shared" si="35"/>
        <v>0</v>
      </c>
      <c r="AK41" s="271">
        <f t="shared" si="35"/>
        <v>-117743.97500000001</v>
      </c>
      <c r="AL41" s="271">
        <f t="shared" si="35"/>
        <v>-3500</v>
      </c>
      <c r="AM41" s="271">
        <f t="shared" si="35"/>
        <v>-29501.404000000002</v>
      </c>
      <c r="AN41" s="271">
        <f t="shared" si="35"/>
        <v>0</v>
      </c>
      <c r="AO41" s="271">
        <f t="shared" si="35"/>
        <v>0</v>
      </c>
      <c r="AP41" s="58"/>
      <c r="AQ41" s="274">
        <f>SUM(AQ26:AQ40)</f>
        <v>-640000</v>
      </c>
      <c r="AR41" s="1"/>
      <c r="AS41" s="58" t="s">
        <v>198</v>
      </c>
      <c r="AT41" s="58"/>
      <c r="AU41" s="88">
        <f>N64</f>
        <v>-1850000</v>
      </c>
      <c r="AV41" s="88">
        <f>O64</f>
        <v>347950</v>
      </c>
      <c r="AW41" s="88">
        <f>P64</f>
        <v>-1502050</v>
      </c>
      <c r="AX41" s="88">
        <f>Q64</f>
        <v>-155735.69</v>
      </c>
      <c r="AY41" s="121">
        <f t="shared" si="32"/>
        <v>0.10368209447088979</v>
      </c>
      <c r="AZ41" s="58"/>
      <c r="BA41" s="58"/>
    </row>
    <row r="42" spans="1:71" s="7" customFormat="1" ht="12.75" customHeight="1" x14ac:dyDescent="0.2">
      <c r="B42" s="145"/>
      <c r="C42" s="149"/>
      <c r="D42" s="254"/>
      <c r="E42" s="254"/>
      <c r="F42" s="254"/>
      <c r="G42" s="275"/>
      <c r="H42" s="275"/>
      <c r="I42" s="275"/>
      <c r="J42" s="275"/>
      <c r="K42" s="275"/>
      <c r="L42" s="275"/>
      <c r="M42" s="275"/>
      <c r="N42" s="275"/>
      <c r="O42" s="275"/>
      <c r="P42" s="275"/>
      <c r="Q42" s="275"/>
      <c r="R42" s="275"/>
      <c r="S42" s="254"/>
      <c r="T42" s="275"/>
      <c r="U42" s="275"/>
      <c r="V42" s="275"/>
      <c r="W42" s="255"/>
      <c r="X42" s="275"/>
      <c r="Y42" s="275"/>
      <c r="Z42" s="255"/>
      <c r="AA42" s="275"/>
      <c r="AB42" s="276"/>
      <c r="AC42" s="276"/>
      <c r="AD42" s="276"/>
      <c r="AE42" s="275"/>
      <c r="AF42" s="275"/>
      <c r="AG42" s="275"/>
      <c r="AH42" s="275"/>
      <c r="AI42" s="275"/>
      <c r="AJ42" s="275"/>
      <c r="AK42" s="275"/>
      <c r="AL42" s="275"/>
      <c r="AM42" s="275"/>
      <c r="AN42" s="275"/>
      <c r="AO42" s="275"/>
      <c r="AP42" s="58"/>
      <c r="AQ42" s="274"/>
      <c r="AR42" s="1"/>
      <c r="AS42" s="58" t="s">
        <v>199</v>
      </c>
      <c r="AT42" s="58"/>
      <c r="AU42" s="88">
        <f>N80</f>
        <v>-110000</v>
      </c>
      <c r="AV42" s="88">
        <f>O80</f>
        <v>0</v>
      </c>
      <c r="AW42" s="88">
        <f>P80</f>
        <v>-110000</v>
      </c>
      <c r="AX42" s="88">
        <f>Q80</f>
        <v>-81176.179999999993</v>
      </c>
      <c r="AY42" s="121">
        <f>AX42/AW42</f>
        <v>0.73796527272727264</v>
      </c>
      <c r="AZ42" s="58"/>
      <c r="BA42" s="58"/>
    </row>
    <row r="43" spans="1:71" s="27" customFormat="1" ht="39" customHeight="1" x14ac:dyDescent="0.2">
      <c r="A43" s="1"/>
      <c r="B43" s="243"/>
      <c r="C43" s="244" t="s">
        <v>2</v>
      </c>
      <c r="D43" s="251" t="s">
        <v>136</v>
      </c>
      <c r="E43" s="247" t="s">
        <v>137</v>
      </c>
      <c r="F43" s="247" t="s">
        <v>138</v>
      </c>
      <c r="G43" s="246" t="s">
        <v>139</v>
      </c>
      <c r="H43" s="247" t="s">
        <v>140</v>
      </c>
      <c r="I43" s="247" t="s">
        <v>141</v>
      </c>
      <c r="J43" s="247" t="s">
        <v>142</v>
      </c>
      <c r="K43" s="247" t="s">
        <v>143</v>
      </c>
      <c r="L43" s="247" t="s">
        <v>144</v>
      </c>
      <c r="M43" s="246" t="s">
        <v>145</v>
      </c>
      <c r="N43" s="246" t="s">
        <v>146</v>
      </c>
      <c r="O43" s="246" t="s">
        <v>147</v>
      </c>
      <c r="P43" s="246" t="s">
        <v>148</v>
      </c>
      <c r="Q43" s="246" t="s">
        <v>149</v>
      </c>
      <c r="R43" s="246" t="s">
        <v>150</v>
      </c>
      <c r="S43" s="246" t="s">
        <v>151</v>
      </c>
      <c r="T43" s="246" t="s">
        <v>152</v>
      </c>
      <c r="U43" s="246" t="s">
        <v>153</v>
      </c>
      <c r="V43" s="246" t="s">
        <v>151</v>
      </c>
      <c r="W43" s="248" t="s">
        <v>152</v>
      </c>
      <c r="X43" s="246" t="s">
        <v>154</v>
      </c>
      <c r="Y43" s="246" t="s">
        <v>151</v>
      </c>
      <c r="Z43" s="248" t="s">
        <v>152</v>
      </c>
      <c r="AA43" s="247">
        <v>2025</v>
      </c>
      <c r="AB43" s="246" t="s">
        <v>151</v>
      </c>
      <c r="AC43" s="246" t="s">
        <v>152</v>
      </c>
      <c r="AD43" s="249">
        <v>2026</v>
      </c>
      <c r="AE43" s="249">
        <v>2027</v>
      </c>
      <c r="AF43" s="249">
        <v>2028</v>
      </c>
      <c r="AG43" s="249">
        <v>2029</v>
      </c>
      <c r="AH43" s="249">
        <v>2030</v>
      </c>
      <c r="AI43" s="249">
        <v>2031</v>
      </c>
      <c r="AJ43" s="250">
        <v>2022</v>
      </c>
      <c r="AK43" s="250">
        <v>2023</v>
      </c>
      <c r="AL43" s="250">
        <v>2024</v>
      </c>
      <c r="AM43" s="250">
        <v>2025</v>
      </c>
      <c r="AN43" s="250">
        <v>2026</v>
      </c>
      <c r="AO43" s="250"/>
      <c r="AP43" s="114"/>
      <c r="AQ43" s="246" t="s">
        <v>155</v>
      </c>
      <c r="AR43" s="1"/>
      <c r="AS43" s="58" t="s">
        <v>119</v>
      </c>
      <c r="AT43" s="58"/>
      <c r="AU43" s="88">
        <f>N117</f>
        <v>0</v>
      </c>
      <c r="AV43" s="88">
        <f>O117</f>
        <v>0</v>
      </c>
      <c r="AW43" s="88">
        <f>P117</f>
        <v>0</v>
      </c>
      <c r="AX43" s="88">
        <f>Q117</f>
        <v>0</v>
      </c>
      <c r="AY43" s="121">
        <v>0</v>
      </c>
      <c r="AZ43" s="58"/>
      <c r="BA43" s="58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1:71" s="27" customFormat="1" ht="12.75" customHeight="1" x14ac:dyDescent="0.2">
      <c r="A44" s="1"/>
      <c r="B44" s="262" t="s">
        <v>200</v>
      </c>
      <c r="C44" s="263"/>
      <c r="D44" s="264"/>
      <c r="E44" s="264"/>
      <c r="F44" s="264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80"/>
      <c r="T44" s="279"/>
      <c r="U44" s="294"/>
      <c r="V44" s="294"/>
      <c r="W44" s="295"/>
      <c r="X44" s="294"/>
      <c r="Y44" s="294"/>
      <c r="Z44" s="295"/>
      <c r="AA44" s="294"/>
      <c r="AB44" s="296"/>
      <c r="AC44" s="296"/>
      <c r="AD44" s="296"/>
      <c r="AE44" s="294"/>
      <c r="AF44" s="294"/>
      <c r="AG44" s="294"/>
      <c r="AH44" s="294"/>
      <c r="AI44" s="294"/>
      <c r="AJ44" s="294"/>
      <c r="AK44" s="294"/>
      <c r="AL44" s="294"/>
      <c r="AM44" s="294"/>
      <c r="AN44" s="294"/>
      <c r="AO44" s="294"/>
      <c r="AP44" s="86"/>
      <c r="AQ44" s="283"/>
      <c r="AR44" s="1"/>
      <c r="AS44" s="58" t="s">
        <v>201</v>
      </c>
      <c r="AT44" s="58"/>
      <c r="AU44" s="88">
        <f>N108</f>
        <v>-1013200</v>
      </c>
      <c r="AV44" s="88">
        <f>O108</f>
        <v>140000</v>
      </c>
      <c r="AW44" s="88">
        <f>P108</f>
        <v>-873200</v>
      </c>
      <c r="AX44" s="88">
        <f>Q108</f>
        <v>-138480.74</v>
      </c>
      <c r="AY44" s="121">
        <f t="shared" si="32"/>
        <v>0.15858994502977553</v>
      </c>
      <c r="AZ44" s="58"/>
      <c r="BA44" s="58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71" ht="27" hidden="1" customHeight="1" x14ac:dyDescent="0.2">
      <c r="B45" s="134" t="s">
        <v>202</v>
      </c>
      <c r="C45" s="149"/>
      <c r="D45" s="136">
        <v>8122</v>
      </c>
      <c r="E45" s="136">
        <v>8400</v>
      </c>
      <c r="F45" s="136">
        <v>7110</v>
      </c>
      <c r="G45" s="297">
        <f>SUM(I45,K45,M45:AA45)</f>
        <v>-47381.34</v>
      </c>
      <c r="H45" s="297"/>
      <c r="I45" s="297"/>
      <c r="J45" s="297"/>
      <c r="K45" s="297"/>
      <c r="L45" s="297">
        <v>-47381</v>
      </c>
      <c r="M45" s="297">
        <v>-47381.34</v>
      </c>
      <c r="N45" s="297"/>
      <c r="O45" s="297"/>
      <c r="P45" s="297"/>
      <c r="Q45" s="297"/>
      <c r="R45" s="297"/>
      <c r="S45" s="268"/>
      <c r="T45" s="297"/>
      <c r="U45" s="298"/>
      <c r="V45" s="298"/>
      <c r="W45" s="299"/>
      <c r="X45" s="298"/>
      <c r="Y45" s="298"/>
      <c r="Z45" s="299"/>
      <c r="AA45" s="298"/>
      <c r="AB45" s="300"/>
      <c r="AC45" s="300"/>
      <c r="AD45" s="300"/>
      <c r="AE45" s="298"/>
      <c r="AF45" s="298"/>
      <c r="AG45" s="298"/>
      <c r="AH45" s="298"/>
      <c r="AI45" s="298"/>
      <c r="AJ45" s="298">
        <f t="shared" ref="AJ45:AJ62" si="36">L45*0.15</f>
        <v>-7107.15</v>
      </c>
      <c r="AK45" s="298">
        <f t="shared" ref="AK45:AK62" si="37">N45*0.15+(L45-AJ45)*0.15</f>
        <v>-6041.0774999999994</v>
      </c>
      <c r="AL45" s="298">
        <f t="shared" ref="AL45:AL62" si="38">U45*0.15+(N45-N45*0.15)*0.15+(L45-AJ45-(L45-AJ45)*0.15)*0.15</f>
        <v>-5134.9158749999997</v>
      </c>
      <c r="AM45" s="298"/>
      <c r="AN45" s="298"/>
      <c r="AO45" s="298"/>
      <c r="AP45" s="86"/>
      <c r="AQ45" s="283"/>
      <c r="AZ45" s="58"/>
      <c r="BA45" s="58"/>
    </row>
    <row r="46" spans="1:71" ht="12.75" customHeight="1" x14ac:dyDescent="0.2">
      <c r="B46" s="134" t="s">
        <v>203</v>
      </c>
      <c r="C46" s="135"/>
      <c r="D46" s="136">
        <v>8154</v>
      </c>
      <c r="E46" s="136">
        <v>8450</v>
      </c>
      <c r="F46" s="136">
        <v>7115</v>
      </c>
      <c r="G46" s="297">
        <f>SUM(I46,K46,M46,N46,U46:AA46)</f>
        <v>-220000</v>
      </c>
      <c r="H46" s="301"/>
      <c r="I46" s="132"/>
      <c r="J46" s="301"/>
      <c r="K46" s="132"/>
      <c r="L46" s="132"/>
      <c r="M46" s="297"/>
      <c r="N46" s="297">
        <v>-20000</v>
      </c>
      <c r="O46" s="297">
        <v>0</v>
      </c>
      <c r="P46" s="297">
        <f t="shared" ref="P46:P63" si="39">N46+O46</f>
        <v>-20000</v>
      </c>
      <c r="Q46" s="297">
        <v>0</v>
      </c>
      <c r="R46" s="137">
        <f t="shared" ref="R46:R62" si="40">Q46/P46</f>
        <v>0</v>
      </c>
      <c r="S46" s="302"/>
      <c r="T46" s="141" t="s">
        <v>173</v>
      </c>
      <c r="U46" s="139">
        <v>-200000</v>
      </c>
      <c r="V46" s="139"/>
      <c r="W46" s="303" t="s">
        <v>174</v>
      </c>
      <c r="X46" s="139"/>
      <c r="Y46" s="139"/>
      <c r="Z46" s="304"/>
      <c r="AA46" s="305"/>
      <c r="AB46" s="306"/>
      <c r="AC46" s="306"/>
      <c r="AD46" s="306"/>
      <c r="AE46" s="305"/>
      <c r="AF46" s="305"/>
      <c r="AG46" s="305"/>
      <c r="AH46" s="305"/>
      <c r="AI46" s="305"/>
      <c r="AJ46" s="307">
        <f t="shared" si="36"/>
        <v>0</v>
      </c>
      <c r="AK46" s="307">
        <f t="shared" si="37"/>
        <v>-3000</v>
      </c>
      <c r="AL46" s="307">
        <f t="shared" si="38"/>
        <v>-32550</v>
      </c>
      <c r="AM46" s="307"/>
      <c r="AN46" s="307"/>
      <c r="AO46" s="307"/>
      <c r="AP46" s="86"/>
      <c r="AQ46" s="283">
        <v>-20000</v>
      </c>
      <c r="AS46" s="91" t="s">
        <v>204</v>
      </c>
      <c r="AT46" s="91"/>
      <c r="AU46" s="92">
        <f>SUM(AU36:AU44)</f>
        <v>-5488200</v>
      </c>
      <c r="AV46" s="92">
        <f>SUM(AV36:AV44)</f>
        <v>2417950</v>
      </c>
      <c r="AW46" s="92">
        <f>SUM(AW36:AW44)</f>
        <v>-3070250</v>
      </c>
      <c r="AX46" s="92">
        <f>SUM(AX36:AX44)</f>
        <v>-567579.6399999999</v>
      </c>
      <c r="AY46" s="120">
        <f>R121</f>
        <v>0.18486430746681867</v>
      </c>
      <c r="AZ46" s="58"/>
      <c r="BA46" s="58"/>
    </row>
    <row r="47" spans="1:71" ht="12.75" customHeight="1" x14ac:dyDescent="0.2">
      <c r="B47" s="134" t="s">
        <v>205</v>
      </c>
      <c r="C47" s="135"/>
      <c r="D47" s="136">
        <v>8123</v>
      </c>
      <c r="E47" s="136">
        <v>8400</v>
      </c>
      <c r="F47" s="136">
        <v>7110</v>
      </c>
      <c r="G47" s="297">
        <f t="shared" ref="G47:G62" si="41">SUM(I47,K47,M47,N47,U47:AA47)</f>
        <v>-50819.5</v>
      </c>
      <c r="H47" s="301"/>
      <c r="I47" s="132"/>
      <c r="J47" s="301"/>
      <c r="K47" s="132"/>
      <c r="L47" s="132">
        <v>-30000</v>
      </c>
      <c r="M47" s="297">
        <v>-20819.5</v>
      </c>
      <c r="N47" s="297">
        <v>-30000</v>
      </c>
      <c r="O47" s="297">
        <v>0</v>
      </c>
      <c r="P47" s="297">
        <f t="shared" si="39"/>
        <v>-30000</v>
      </c>
      <c r="Q47" s="297">
        <v>0</v>
      </c>
      <c r="R47" s="137">
        <f t="shared" si="40"/>
        <v>0</v>
      </c>
      <c r="S47" s="302"/>
      <c r="T47" s="141" t="s">
        <v>173</v>
      </c>
      <c r="U47" s="139"/>
      <c r="V47" s="139"/>
      <c r="W47" s="304"/>
      <c r="X47" s="139"/>
      <c r="Y47" s="139"/>
      <c r="Z47" s="304"/>
      <c r="AA47" s="305"/>
      <c r="AB47" s="306"/>
      <c r="AC47" s="306"/>
      <c r="AD47" s="306"/>
      <c r="AE47" s="305"/>
      <c r="AF47" s="305"/>
      <c r="AG47" s="305"/>
      <c r="AH47" s="305"/>
      <c r="AI47" s="305"/>
      <c r="AJ47" s="307">
        <f t="shared" si="36"/>
        <v>-4500</v>
      </c>
      <c r="AK47" s="307">
        <f t="shared" si="37"/>
        <v>-8325</v>
      </c>
      <c r="AL47" s="307">
        <f t="shared" si="38"/>
        <v>-7076.25</v>
      </c>
      <c r="AM47" s="307"/>
      <c r="AN47" s="307"/>
      <c r="AO47" s="307"/>
      <c r="AP47" s="86"/>
      <c r="AQ47" s="283">
        <v>-30000</v>
      </c>
      <c r="AS47" s="58"/>
      <c r="AT47" s="58"/>
      <c r="AU47" s="58"/>
      <c r="AV47" s="58"/>
      <c r="AW47" s="58"/>
      <c r="AX47" s="58"/>
      <c r="AY47" s="58"/>
      <c r="AZ47" s="58"/>
    </row>
    <row r="48" spans="1:71" ht="12.75" customHeight="1" x14ac:dyDescent="0.2">
      <c r="B48" s="134" t="s">
        <v>103</v>
      </c>
      <c r="C48" s="135" t="s">
        <v>9</v>
      </c>
      <c r="D48" s="136">
        <v>8103</v>
      </c>
      <c r="E48" s="136">
        <v>8400</v>
      </c>
      <c r="F48" s="136">
        <v>7110</v>
      </c>
      <c r="G48" s="133">
        <f t="shared" si="41"/>
        <v>-303399</v>
      </c>
      <c r="H48" s="132">
        <v>-50000</v>
      </c>
      <c r="I48" s="132">
        <v>-48258</v>
      </c>
      <c r="J48" s="132">
        <v>-50000</v>
      </c>
      <c r="K48" s="132">
        <v>-66821</v>
      </c>
      <c r="L48" s="132">
        <v>-50000</v>
      </c>
      <c r="M48" s="133">
        <v>-58320</v>
      </c>
      <c r="N48" s="133">
        <f>-50000-30000</f>
        <v>-80000</v>
      </c>
      <c r="O48" s="133">
        <v>0</v>
      </c>
      <c r="P48" s="133">
        <f t="shared" si="39"/>
        <v>-80000</v>
      </c>
      <c r="Q48" s="133">
        <v>-20907.580000000002</v>
      </c>
      <c r="R48" s="137">
        <f t="shared" si="40"/>
        <v>0.26134475000000001</v>
      </c>
      <c r="S48" s="288" t="s">
        <v>206</v>
      </c>
      <c r="T48" s="141" t="s">
        <v>173</v>
      </c>
      <c r="U48" s="139">
        <v>-50000</v>
      </c>
      <c r="V48" s="139"/>
      <c r="W48" s="303" t="s">
        <v>174</v>
      </c>
      <c r="X48" s="139"/>
      <c r="Y48" s="139"/>
      <c r="Z48" s="304"/>
      <c r="AA48" s="139"/>
      <c r="AB48" s="308"/>
      <c r="AC48" s="308"/>
      <c r="AD48" s="308"/>
      <c r="AE48" s="139"/>
      <c r="AF48" s="139"/>
      <c r="AG48" s="139"/>
      <c r="AH48" s="139"/>
      <c r="AI48" s="139"/>
      <c r="AJ48" s="307">
        <f t="shared" si="36"/>
        <v>-7500</v>
      </c>
      <c r="AK48" s="307">
        <f t="shared" si="37"/>
        <v>-18375</v>
      </c>
      <c r="AL48" s="307">
        <f t="shared" si="38"/>
        <v>-23118.75</v>
      </c>
      <c r="AM48" s="307"/>
      <c r="AN48" s="307"/>
      <c r="AO48" s="307"/>
      <c r="AP48" s="86"/>
      <c r="AQ48" s="270">
        <v>-80000</v>
      </c>
      <c r="AS48" s="58"/>
      <c r="AT48" s="58"/>
      <c r="AU48" s="58"/>
      <c r="AV48" s="58"/>
      <c r="AW48" s="58"/>
      <c r="AX48" s="58"/>
      <c r="AY48" s="58"/>
      <c r="AZ48" s="58"/>
    </row>
    <row r="49" spans="1:70" ht="12.75" customHeight="1" x14ac:dyDescent="0.2">
      <c r="B49" s="134" t="s">
        <v>207</v>
      </c>
      <c r="C49" s="135"/>
      <c r="D49" s="136">
        <v>8109</v>
      </c>
      <c r="E49" s="136">
        <v>8400</v>
      </c>
      <c r="F49" s="136">
        <v>7110</v>
      </c>
      <c r="G49" s="297">
        <f t="shared" si="41"/>
        <v>-428720</v>
      </c>
      <c r="H49" s="132">
        <v>-100000</v>
      </c>
      <c r="I49" s="132">
        <v>0</v>
      </c>
      <c r="J49" s="132">
        <v>-40000</v>
      </c>
      <c r="K49" s="132">
        <v>-28720</v>
      </c>
      <c r="L49" s="132"/>
      <c r="M49" s="297"/>
      <c r="N49" s="297">
        <v>-400000</v>
      </c>
      <c r="O49" s="309">
        <v>387950</v>
      </c>
      <c r="P49" s="309">
        <f t="shared" si="39"/>
        <v>-12050</v>
      </c>
      <c r="Q49" s="297">
        <v>-12050</v>
      </c>
      <c r="R49" s="137">
        <f t="shared" si="40"/>
        <v>1</v>
      </c>
      <c r="S49" s="310">
        <v>44241</v>
      </c>
      <c r="T49" s="142" t="s">
        <v>173</v>
      </c>
      <c r="U49" s="139"/>
      <c r="V49" s="139"/>
      <c r="W49" s="304"/>
      <c r="X49" s="139"/>
      <c r="Y49" s="139"/>
      <c r="Z49" s="304"/>
      <c r="AA49" s="139"/>
      <c r="AB49" s="308"/>
      <c r="AC49" s="308"/>
      <c r="AD49" s="308"/>
      <c r="AE49" s="139"/>
      <c r="AF49" s="139"/>
      <c r="AG49" s="139"/>
      <c r="AH49" s="139"/>
      <c r="AI49" s="139"/>
      <c r="AJ49" s="307">
        <f t="shared" si="36"/>
        <v>0</v>
      </c>
      <c r="AK49" s="307">
        <f t="shared" si="37"/>
        <v>-60000</v>
      </c>
      <c r="AL49" s="307">
        <f t="shared" si="38"/>
        <v>-51000</v>
      </c>
      <c r="AM49" s="307"/>
      <c r="AN49" s="307"/>
      <c r="AO49" s="307"/>
      <c r="AP49" s="86"/>
      <c r="AQ49" s="270">
        <v>-12050</v>
      </c>
      <c r="AS49" s="58"/>
      <c r="AT49" s="58"/>
      <c r="AU49" s="58"/>
      <c r="AV49" s="58"/>
      <c r="AW49" s="58"/>
      <c r="AX49" s="58"/>
      <c r="AY49" s="58"/>
      <c r="AZ49" s="58"/>
    </row>
    <row r="50" spans="1:70" s="71" customFormat="1" ht="12.75" hidden="1" customHeight="1" x14ac:dyDescent="0.2">
      <c r="A50" s="1"/>
      <c r="B50" s="268" t="s">
        <v>87</v>
      </c>
      <c r="C50" s="135"/>
      <c r="D50" s="136">
        <v>8124</v>
      </c>
      <c r="E50" s="136">
        <v>8400</v>
      </c>
      <c r="F50" s="136">
        <v>7110</v>
      </c>
      <c r="G50" s="133">
        <f t="shared" si="41"/>
        <v>-80504.95</v>
      </c>
      <c r="H50" s="132">
        <v>-60000</v>
      </c>
      <c r="I50" s="132">
        <v>0</v>
      </c>
      <c r="J50" s="132"/>
      <c r="K50" s="132">
        <v>-15818</v>
      </c>
      <c r="L50" s="132">
        <v>-60000</v>
      </c>
      <c r="M50" s="133">
        <v>-64686.95</v>
      </c>
      <c r="N50" s="133"/>
      <c r="O50" s="133">
        <v>0</v>
      </c>
      <c r="P50" s="133">
        <f t="shared" si="39"/>
        <v>0</v>
      </c>
      <c r="Q50" s="133"/>
      <c r="R50" s="137" t="e">
        <f t="shared" si="40"/>
        <v>#DIV/0!</v>
      </c>
      <c r="S50" s="136"/>
      <c r="T50" s="141"/>
      <c r="U50" s="139"/>
      <c r="V50" s="139"/>
      <c r="W50" s="304"/>
      <c r="X50" s="139"/>
      <c r="Y50" s="139"/>
      <c r="Z50" s="304"/>
      <c r="AA50" s="139"/>
      <c r="AB50" s="308"/>
      <c r="AC50" s="308"/>
      <c r="AD50" s="308"/>
      <c r="AE50" s="139"/>
      <c r="AF50" s="139"/>
      <c r="AG50" s="139"/>
      <c r="AH50" s="139"/>
      <c r="AI50" s="139"/>
      <c r="AJ50" s="307">
        <f t="shared" si="36"/>
        <v>-9000</v>
      </c>
      <c r="AK50" s="307">
        <f t="shared" si="37"/>
        <v>-7650</v>
      </c>
      <c r="AL50" s="307">
        <f t="shared" si="38"/>
        <v>-6502.5</v>
      </c>
      <c r="AM50" s="307"/>
      <c r="AN50" s="307"/>
      <c r="AO50" s="307"/>
      <c r="AP50" s="86"/>
      <c r="AQ50" s="270"/>
      <c r="AR50" s="1"/>
      <c r="AS50" s="125"/>
      <c r="AT50" s="125"/>
      <c r="AU50" s="125"/>
      <c r="AV50" s="125"/>
      <c r="AW50" s="125"/>
      <c r="AX50" s="125"/>
      <c r="AY50" s="125"/>
      <c r="AZ50" s="125"/>
      <c r="BA50" s="126"/>
      <c r="BB50" s="126"/>
      <c r="BC50" s="126"/>
      <c r="BD50" s="126"/>
      <c r="BE50" s="126"/>
      <c r="BF50" s="126"/>
      <c r="BG50" s="126"/>
      <c r="BH50" s="126"/>
      <c r="BI50" s="126"/>
      <c r="BJ50" s="126"/>
      <c r="BK50" s="126"/>
      <c r="BL50" s="126"/>
      <c r="BM50" s="126"/>
      <c r="BN50" s="126"/>
      <c r="BO50" s="126"/>
      <c r="BP50" s="126"/>
      <c r="BQ50" s="126"/>
      <c r="BR50" s="126"/>
    </row>
    <row r="51" spans="1:70" ht="12.75" hidden="1" customHeight="1" x14ac:dyDescent="0.2">
      <c r="B51" s="134" t="s">
        <v>208</v>
      </c>
      <c r="C51" s="135" t="s">
        <v>7</v>
      </c>
      <c r="D51" s="136"/>
      <c r="E51" s="136"/>
      <c r="F51" s="136"/>
      <c r="G51" s="133">
        <f t="shared" si="41"/>
        <v>-19000</v>
      </c>
      <c r="H51" s="311">
        <v>-600000</v>
      </c>
      <c r="I51" s="311">
        <v>-19000</v>
      </c>
      <c r="J51" s="311">
        <v>0</v>
      </c>
      <c r="K51" s="311">
        <v>0</v>
      </c>
      <c r="L51" s="311"/>
      <c r="M51" s="133"/>
      <c r="N51" s="133"/>
      <c r="O51" s="133">
        <v>0</v>
      </c>
      <c r="P51" s="133">
        <f t="shared" si="39"/>
        <v>0</v>
      </c>
      <c r="Q51" s="133"/>
      <c r="R51" s="137" t="e">
        <f t="shared" si="40"/>
        <v>#DIV/0!</v>
      </c>
      <c r="S51" s="136"/>
      <c r="T51" s="141"/>
      <c r="U51" s="139"/>
      <c r="V51" s="139"/>
      <c r="W51" s="304"/>
      <c r="X51" s="139"/>
      <c r="Y51" s="139"/>
      <c r="Z51" s="304"/>
      <c r="AA51" s="312"/>
      <c r="AB51" s="313"/>
      <c r="AC51" s="313"/>
      <c r="AD51" s="313"/>
      <c r="AE51" s="312"/>
      <c r="AF51" s="312"/>
      <c r="AG51" s="312"/>
      <c r="AH51" s="312"/>
      <c r="AI51" s="312"/>
      <c r="AJ51" s="307">
        <f t="shared" si="36"/>
        <v>0</v>
      </c>
      <c r="AK51" s="307">
        <f t="shared" si="37"/>
        <v>0</v>
      </c>
      <c r="AL51" s="307">
        <f t="shared" si="38"/>
        <v>0</v>
      </c>
      <c r="AM51" s="307"/>
      <c r="AN51" s="307"/>
      <c r="AO51" s="307"/>
      <c r="AP51" s="127"/>
      <c r="AQ51" s="283"/>
      <c r="AS51" s="58"/>
      <c r="AT51" s="58"/>
      <c r="AU51" s="58"/>
      <c r="AV51" s="58"/>
      <c r="AW51" s="58"/>
      <c r="AX51" s="58"/>
      <c r="AY51" s="58"/>
      <c r="AZ51" s="58"/>
    </row>
    <row r="52" spans="1:70" ht="12.75" hidden="1" customHeight="1" x14ac:dyDescent="0.2">
      <c r="B52" s="134" t="s">
        <v>209</v>
      </c>
      <c r="C52" s="135"/>
      <c r="D52" s="136"/>
      <c r="E52" s="136"/>
      <c r="F52" s="136"/>
      <c r="G52" s="133">
        <f t="shared" si="41"/>
        <v>0</v>
      </c>
      <c r="H52" s="311">
        <v>-20000</v>
      </c>
      <c r="I52" s="311">
        <v>0</v>
      </c>
      <c r="J52" s="311"/>
      <c r="K52" s="311"/>
      <c r="L52" s="311"/>
      <c r="M52" s="133"/>
      <c r="N52" s="133"/>
      <c r="O52" s="133">
        <v>0</v>
      </c>
      <c r="P52" s="133">
        <f t="shared" si="39"/>
        <v>0</v>
      </c>
      <c r="Q52" s="133"/>
      <c r="R52" s="137" t="e">
        <f t="shared" si="40"/>
        <v>#DIV/0!</v>
      </c>
      <c r="S52" s="136"/>
      <c r="T52" s="141"/>
      <c r="U52" s="139"/>
      <c r="V52" s="139"/>
      <c r="W52" s="304"/>
      <c r="X52" s="139"/>
      <c r="Y52" s="139"/>
      <c r="Z52" s="304"/>
      <c r="AA52" s="312"/>
      <c r="AB52" s="313"/>
      <c r="AC52" s="313"/>
      <c r="AD52" s="313"/>
      <c r="AE52" s="312"/>
      <c r="AF52" s="312"/>
      <c r="AG52" s="312"/>
      <c r="AH52" s="312"/>
      <c r="AI52" s="312"/>
      <c r="AJ52" s="307"/>
      <c r="AK52" s="307"/>
      <c r="AL52" s="307"/>
      <c r="AM52" s="307"/>
      <c r="AN52" s="307"/>
      <c r="AO52" s="307"/>
      <c r="AP52" s="86"/>
      <c r="AQ52" s="283"/>
      <c r="AS52" s="58"/>
      <c r="AT52" s="58"/>
      <c r="AU52" s="58"/>
      <c r="AV52" s="58"/>
      <c r="AW52" s="58"/>
      <c r="AX52" s="58"/>
      <c r="AY52" s="58"/>
      <c r="AZ52" s="58"/>
    </row>
    <row r="53" spans="1:70" ht="12.75" customHeight="1" x14ac:dyDescent="0.2">
      <c r="B53" s="134" t="s">
        <v>82</v>
      </c>
      <c r="C53" s="135"/>
      <c r="D53" s="136">
        <v>8155</v>
      </c>
      <c r="E53" s="136">
        <v>8400</v>
      </c>
      <c r="F53" s="136">
        <v>7110</v>
      </c>
      <c r="G53" s="297">
        <f t="shared" si="41"/>
        <v>-220000</v>
      </c>
      <c r="H53" s="132"/>
      <c r="I53" s="132"/>
      <c r="J53" s="132"/>
      <c r="K53" s="132"/>
      <c r="L53" s="132"/>
      <c r="M53" s="297"/>
      <c r="N53" s="297">
        <v>-20000</v>
      </c>
      <c r="O53" s="297">
        <v>0</v>
      </c>
      <c r="P53" s="297">
        <f t="shared" si="39"/>
        <v>-20000</v>
      </c>
      <c r="Q53" s="297">
        <v>0</v>
      </c>
      <c r="R53" s="137">
        <f t="shared" si="40"/>
        <v>0</v>
      </c>
      <c r="S53" s="302"/>
      <c r="T53" s="141" t="s">
        <v>173</v>
      </c>
      <c r="U53" s="139">
        <v>-200000</v>
      </c>
      <c r="V53" s="139"/>
      <c r="W53" s="303" t="s">
        <v>174</v>
      </c>
      <c r="X53" s="139"/>
      <c r="Y53" s="139"/>
      <c r="Z53" s="304"/>
      <c r="AA53" s="139"/>
      <c r="AB53" s="308"/>
      <c r="AC53" s="308"/>
      <c r="AD53" s="308"/>
      <c r="AE53" s="139"/>
      <c r="AF53" s="139"/>
      <c r="AG53" s="139"/>
      <c r="AH53" s="139"/>
      <c r="AI53" s="139"/>
      <c r="AJ53" s="307">
        <f t="shared" si="36"/>
        <v>0</v>
      </c>
      <c r="AK53" s="307">
        <f t="shared" si="37"/>
        <v>-3000</v>
      </c>
      <c r="AL53" s="307">
        <f t="shared" si="38"/>
        <v>-32550</v>
      </c>
      <c r="AM53" s="307"/>
      <c r="AN53" s="307"/>
      <c r="AO53" s="307"/>
      <c r="AP53" s="86"/>
      <c r="AQ53" s="270">
        <v>-20000</v>
      </c>
      <c r="AS53" s="58"/>
      <c r="AT53" s="58"/>
      <c r="AU53" s="58"/>
      <c r="AV53" s="58"/>
      <c r="AW53" s="58"/>
      <c r="AX53" s="58"/>
      <c r="AY53" s="58"/>
      <c r="AZ53" s="58"/>
    </row>
    <row r="54" spans="1:70" ht="12.75" customHeight="1" x14ac:dyDescent="0.2">
      <c r="B54" s="134" t="s">
        <v>210</v>
      </c>
      <c r="C54" s="135"/>
      <c r="D54" s="136">
        <v>8126</v>
      </c>
      <c r="E54" s="136">
        <v>8400</v>
      </c>
      <c r="F54" s="136">
        <v>7110</v>
      </c>
      <c r="G54" s="133">
        <f t="shared" si="41"/>
        <v>-600000</v>
      </c>
      <c r="H54" s="132"/>
      <c r="I54" s="132"/>
      <c r="J54" s="132"/>
      <c r="K54" s="132"/>
      <c r="L54" s="133">
        <v>-10000</v>
      </c>
      <c r="M54" s="133">
        <v>0</v>
      </c>
      <c r="N54" s="133">
        <v>-600000</v>
      </c>
      <c r="O54" s="133">
        <v>0</v>
      </c>
      <c r="P54" s="133">
        <f t="shared" si="39"/>
        <v>-600000</v>
      </c>
      <c r="Q54" s="133">
        <v>0</v>
      </c>
      <c r="R54" s="137">
        <f t="shared" si="40"/>
        <v>0</v>
      </c>
      <c r="S54" s="143" t="s">
        <v>177</v>
      </c>
      <c r="T54" s="141" t="s">
        <v>192</v>
      </c>
      <c r="U54" s="139"/>
      <c r="V54" s="139"/>
      <c r="W54" s="304"/>
      <c r="X54" s="139"/>
      <c r="Y54" s="139"/>
      <c r="Z54" s="304"/>
      <c r="AA54" s="139"/>
      <c r="AB54" s="308"/>
      <c r="AC54" s="308"/>
      <c r="AD54" s="308"/>
      <c r="AE54" s="139"/>
      <c r="AF54" s="139"/>
      <c r="AG54" s="139"/>
      <c r="AH54" s="139"/>
      <c r="AI54" s="139"/>
      <c r="AJ54" s="307">
        <f t="shared" si="36"/>
        <v>-1500</v>
      </c>
      <c r="AK54" s="307">
        <f>N54*0.15+(L54-AJ54)*0.15</f>
        <v>-91275</v>
      </c>
      <c r="AL54" s="307">
        <f t="shared" si="38"/>
        <v>-77583.75</v>
      </c>
      <c r="AM54" s="307"/>
      <c r="AN54" s="307"/>
      <c r="AO54" s="307"/>
      <c r="AP54" s="86"/>
      <c r="AQ54" s="270">
        <v>-300000</v>
      </c>
      <c r="AS54" s="58"/>
      <c r="AT54" s="58"/>
      <c r="AU54" s="58"/>
      <c r="AV54" s="58"/>
      <c r="AW54" s="58"/>
      <c r="AX54" s="58"/>
      <c r="AY54" s="58"/>
      <c r="AZ54" s="58"/>
    </row>
    <row r="55" spans="1:70" ht="12.75" customHeight="1" x14ac:dyDescent="0.2">
      <c r="B55" s="134" t="s">
        <v>79</v>
      </c>
      <c r="C55" s="135"/>
      <c r="D55" s="136">
        <v>8110</v>
      </c>
      <c r="E55" s="136">
        <v>8400</v>
      </c>
      <c r="F55" s="136">
        <v>7110</v>
      </c>
      <c r="G55" s="133">
        <f t="shared" si="41"/>
        <v>-179796</v>
      </c>
      <c r="H55" s="132"/>
      <c r="I55" s="132"/>
      <c r="J55" s="132">
        <v>-150000</v>
      </c>
      <c r="K55" s="132">
        <v>-29796</v>
      </c>
      <c r="L55" s="132">
        <v>0</v>
      </c>
      <c r="M55" s="133">
        <v>0</v>
      </c>
      <c r="N55" s="133">
        <v>-150000</v>
      </c>
      <c r="O55" s="133">
        <v>0</v>
      </c>
      <c r="P55" s="133">
        <f t="shared" si="39"/>
        <v>-150000</v>
      </c>
      <c r="Q55" s="133">
        <v>-8355.2000000000007</v>
      </c>
      <c r="R55" s="137">
        <f t="shared" si="40"/>
        <v>5.5701333333333339E-2</v>
      </c>
      <c r="S55" s="302"/>
      <c r="T55" s="141" t="s">
        <v>173</v>
      </c>
      <c r="U55" s="139"/>
      <c r="V55" s="139"/>
      <c r="W55" s="304"/>
      <c r="X55" s="139"/>
      <c r="Y55" s="139"/>
      <c r="Z55" s="304"/>
      <c r="AA55" s="139"/>
      <c r="AB55" s="308"/>
      <c r="AC55" s="308"/>
      <c r="AD55" s="308"/>
      <c r="AE55" s="139"/>
      <c r="AF55" s="139"/>
      <c r="AG55" s="139"/>
      <c r="AH55" s="139"/>
      <c r="AI55" s="139"/>
      <c r="AJ55" s="307">
        <f t="shared" si="36"/>
        <v>0</v>
      </c>
      <c r="AK55" s="307">
        <f t="shared" si="37"/>
        <v>-22500</v>
      </c>
      <c r="AL55" s="307">
        <f t="shared" si="38"/>
        <v>-19125</v>
      </c>
      <c r="AM55" s="307"/>
      <c r="AN55" s="307"/>
      <c r="AO55" s="307"/>
      <c r="AP55" s="86"/>
      <c r="AQ55" s="270">
        <v>-150000</v>
      </c>
      <c r="AS55" s="58"/>
      <c r="AT55" s="58"/>
      <c r="AU55" s="58"/>
      <c r="AV55" s="58"/>
      <c r="AW55" s="58"/>
      <c r="AX55" s="58"/>
      <c r="AY55" s="58"/>
      <c r="AZ55" s="58"/>
    </row>
    <row r="56" spans="1:70" ht="12.75" customHeight="1" x14ac:dyDescent="0.2">
      <c r="B56" s="134" t="s">
        <v>98</v>
      </c>
      <c r="C56" s="135" t="s">
        <v>55</v>
      </c>
      <c r="D56" s="136">
        <v>8104</v>
      </c>
      <c r="E56" s="136">
        <v>8400</v>
      </c>
      <c r="F56" s="136">
        <v>7120</v>
      </c>
      <c r="G56" s="133">
        <f t="shared" si="41"/>
        <v>-116330</v>
      </c>
      <c r="H56" s="132">
        <v>-20000</v>
      </c>
      <c r="I56" s="132">
        <v>0</v>
      </c>
      <c r="J56" s="132">
        <v>-20000</v>
      </c>
      <c r="K56" s="132">
        <v>-22275</v>
      </c>
      <c r="L56" s="132">
        <v>-30000</v>
      </c>
      <c r="M56" s="133">
        <v>-24055</v>
      </c>
      <c r="N56" s="133">
        <v>-40000</v>
      </c>
      <c r="O56" s="133">
        <v>0</v>
      </c>
      <c r="P56" s="133">
        <f t="shared" si="39"/>
        <v>-40000</v>
      </c>
      <c r="Q56" s="133">
        <v>-11296.5</v>
      </c>
      <c r="R56" s="137">
        <f t="shared" si="40"/>
        <v>0.28241250000000001</v>
      </c>
      <c r="S56" s="302"/>
      <c r="T56" s="141" t="s">
        <v>173</v>
      </c>
      <c r="U56" s="139">
        <v>-30000</v>
      </c>
      <c r="V56" s="139"/>
      <c r="W56" s="303" t="s">
        <v>174</v>
      </c>
      <c r="X56" s="139"/>
      <c r="Y56" s="139"/>
      <c r="Z56" s="304"/>
      <c r="AA56" s="139"/>
      <c r="AB56" s="308"/>
      <c r="AC56" s="308"/>
      <c r="AD56" s="308"/>
      <c r="AE56" s="139"/>
      <c r="AF56" s="139"/>
      <c r="AG56" s="139"/>
      <c r="AH56" s="139"/>
      <c r="AI56" s="139"/>
      <c r="AJ56" s="307">
        <f t="shared" si="36"/>
        <v>-4500</v>
      </c>
      <c r="AK56" s="307">
        <f t="shared" si="37"/>
        <v>-9825</v>
      </c>
      <c r="AL56" s="307">
        <f t="shared" si="38"/>
        <v>-12851.25</v>
      </c>
      <c r="AM56" s="307"/>
      <c r="AN56" s="307"/>
      <c r="AO56" s="307"/>
      <c r="AP56" s="86"/>
      <c r="AQ56" s="270">
        <v>-40000</v>
      </c>
      <c r="AS56" s="58"/>
      <c r="AT56" s="58"/>
      <c r="AU56" s="58"/>
      <c r="AV56" s="58"/>
      <c r="AW56" s="58"/>
      <c r="AX56" s="58"/>
      <c r="AY56" s="58"/>
      <c r="AZ56" s="58"/>
    </row>
    <row r="57" spans="1:70" s="61" customFormat="1" ht="12.75" hidden="1" customHeight="1" x14ac:dyDescent="0.2">
      <c r="A57" s="1"/>
      <c r="B57" s="268" t="s">
        <v>90</v>
      </c>
      <c r="C57" s="135"/>
      <c r="D57" s="136">
        <v>8117</v>
      </c>
      <c r="E57" s="136">
        <v>8400</v>
      </c>
      <c r="F57" s="136">
        <v>7110</v>
      </c>
      <c r="G57" s="133">
        <f t="shared" si="41"/>
        <v>-79441</v>
      </c>
      <c r="H57" s="132">
        <v>0</v>
      </c>
      <c r="I57" s="132">
        <v>-2008</v>
      </c>
      <c r="J57" s="132">
        <v>-30000</v>
      </c>
      <c r="K57" s="132">
        <v>-77433</v>
      </c>
      <c r="L57" s="132"/>
      <c r="M57" s="133"/>
      <c r="N57" s="133"/>
      <c r="O57" s="133">
        <v>0</v>
      </c>
      <c r="P57" s="133">
        <f t="shared" si="39"/>
        <v>0</v>
      </c>
      <c r="Q57" s="133"/>
      <c r="R57" s="137" t="e">
        <f t="shared" si="40"/>
        <v>#DIV/0!</v>
      </c>
      <c r="S57" s="136"/>
      <c r="T57" s="141"/>
      <c r="U57" s="139"/>
      <c r="V57" s="139"/>
      <c r="W57" s="304"/>
      <c r="X57" s="139"/>
      <c r="Y57" s="139"/>
      <c r="Z57" s="304"/>
      <c r="AA57" s="139"/>
      <c r="AB57" s="308"/>
      <c r="AC57" s="308"/>
      <c r="AD57" s="308"/>
      <c r="AE57" s="139"/>
      <c r="AF57" s="139"/>
      <c r="AG57" s="139"/>
      <c r="AH57" s="139"/>
      <c r="AI57" s="139"/>
      <c r="AJ57" s="307">
        <f t="shared" si="36"/>
        <v>0</v>
      </c>
      <c r="AK57" s="307">
        <f t="shared" si="37"/>
        <v>0</v>
      </c>
      <c r="AL57" s="307">
        <f t="shared" si="38"/>
        <v>0</v>
      </c>
      <c r="AM57" s="307"/>
      <c r="AN57" s="307"/>
      <c r="AO57" s="307"/>
      <c r="AP57" s="86"/>
      <c r="AQ57" s="270"/>
      <c r="AR57" s="1"/>
      <c r="AS57" s="58"/>
      <c r="AT57" s="58"/>
      <c r="AU57" s="58"/>
      <c r="AV57" s="58"/>
      <c r="AW57" s="58"/>
      <c r="AX57" s="58"/>
      <c r="AY57" s="58"/>
      <c r="AZ57" s="58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</row>
    <row r="58" spans="1:70" s="61" customFormat="1" ht="12.75" customHeight="1" x14ac:dyDescent="0.2">
      <c r="A58" s="1"/>
      <c r="B58" s="293" t="s">
        <v>58</v>
      </c>
      <c r="C58" s="314" t="s">
        <v>55</v>
      </c>
      <c r="D58" s="315">
        <v>8108</v>
      </c>
      <c r="E58" s="315">
        <v>8400</v>
      </c>
      <c r="F58" s="315">
        <v>7110</v>
      </c>
      <c r="G58" s="133">
        <f t="shared" si="41"/>
        <v>-237633.89</v>
      </c>
      <c r="H58" s="132">
        <v>-100000</v>
      </c>
      <c r="I58" s="132">
        <v>-73267</v>
      </c>
      <c r="J58" s="132">
        <v>-220000</v>
      </c>
      <c r="K58" s="132">
        <v>-89793</v>
      </c>
      <c r="L58" s="133">
        <v>-150000</v>
      </c>
      <c r="M58" s="133">
        <v>-14573.89</v>
      </c>
      <c r="N58" s="133">
        <v>-60000</v>
      </c>
      <c r="O58" s="133">
        <v>0</v>
      </c>
      <c r="P58" s="133">
        <f t="shared" si="39"/>
        <v>-60000</v>
      </c>
      <c r="Q58" s="133">
        <v>-94364</v>
      </c>
      <c r="R58" s="137">
        <f t="shared" si="40"/>
        <v>1.5727333333333333</v>
      </c>
      <c r="S58" s="140">
        <v>44446</v>
      </c>
      <c r="T58" s="144" t="s">
        <v>211</v>
      </c>
      <c r="U58" s="139"/>
      <c r="V58" s="139"/>
      <c r="W58" s="304"/>
      <c r="X58" s="139"/>
      <c r="Y58" s="139"/>
      <c r="Z58" s="304"/>
      <c r="AA58" s="139"/>
      <c r="AB58" s="308"/>
      <c r="AC58" s="308"/>
      <c r="AD58" s="308"/>
      <c r="AE58" s="139"/>
      <c r="AF58" s="139"/>
      <c r="AG58" s="139"/>
      <c r="AH58" s="139"/>
      <c r="AI58" s="139"/>
      <c r="AJ58" s="139">
        <f t="shared" si="36"/>
        <v>-22500</v>
      </c>
      <c r="AK58" s="139">
        <f t="shared" si="37"/>
        <v>-28125</v>
      </c>
      <c r="AL58" s="139">
        <f t="shared" si="38"/>
        <v>-23906.25</v>
      </c>
      <c r="AM58" s="139"/>
      <c r="AN58" s="139"/>
      <c r="AO58" s="139"/>
      <c r="AP58" s="86"/>
      <c r="AQ58" s="270">
        <v>-100000</v>
      </c>
      <c r="AR58" s="1"/>
      <c r="AS58" s="58"/>
      <c r="AT58" s="58"/>
      <c r="AU58" s="58"/>
      <c r="AV58" s="58"/>
      <c r="AW58" s="58"/>
      <c r="AX58" s="58"/>
      <c r="AY58" s="58"/>
      <c r="AZ58" s="58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</row>
    <row r="59" spans="1:70" s="61" customFormat="1" ht="12.75" customHeight="1" x14ac:dyDescent="0.2">
      <c r="A59" s="1"/>
      <c r="B59" s="293" t="s">
        <v>212</v>
      </c>
      <c r="C59" s="314"/>
      <c r="D59" s="315">
        <v>8156</v>
      </c>
      <c r="E59" s="315">
        <v>8400</v>
      </c>
      <c r="F59" s="315">
        <v>7110</v>
      </c>
      <c r="G59" s="133">
        <f t="shared" si="41"/>
        <v>-200000</v>
      </c>
      <c r="H59" s="132"/>
      <c r="I59" s="132"/>
      <c r="J59" s="132"/>
      <c r="K59" s="132"/>
      <c r="L59" s="132"/>
      <c r="M59" s="133"/>
      <c r="N59" s="133">
        <v>-200000</v>
      </c>
      <c r="O59" s="133">
        <v>0</v>
      </c>
      <c r="P59" s="133">
        <f t="shared" si="39"/>
        <v>-200000</v>
      </c>
      <c r="Q59" s="133">
        <v>-8762.41</v>
      </c>
      <c r="R59" s="137">
        <f t="shared" si="40"/>
        <v>4.3812049999999998E-2</v>
      </c>
      <c r="S59" s="302"/>
      <c r="T59" s="141" t="s">
        <v>173</v>
      </c>
      <c r="U59" s="139"/>
      <c r="V59" s="139"/>
      <c r="W59" s="304"/>
      <c r="X59" s="139"/>
      <c r="Y59" s="139"/>
      <c r="Z59" s="304"/>
      <c r="AA59" s="139"/>
      <c r="AB59" s="308"/>
      <c r="AC59" s="308"/>
      <c r="AD59" s="308"/>
      <c r="AE59" s="139"/>
      <c r="AF59" s="139"/>
      <c r="AG59" s="139"/>
      <c r="AH59" s="139"/>
      <c r="AI59" s="139"/>
      <c r="AJ59" s="139">
        <f t="shared" si="36"/>
        <v>0</v>
      </c>
      <c r="AK59" s="139">
        <f t="shared" si="37"/>
        <v>-30000</v>
      </c>
      <c r="AL59" s="139">
        <f t="shared" si="38"/>
        <v>-25500</v>
      </c>
      <c r="AM59" s="139"/>
      <c r="AN59" s="139"/>
      <c r="AO59" s="139"/>
      <c r="AP59" s="86"/>
      <c r="AQ59" s="270">
        <v>-200000</v>
      </c>
      <c r="AR59" s="1"/>
      <c r="AS59" s="58"/>
      <c r="AT59" s="58"/>
      <c r="AU59" s="58"/>
      <c r="AV59" s="58"/>
      <c r="AW59" s="58"/>
      <c r="AX59" s="58"/>
      <c r="AY59" s="58"/>
      <c r="AZ59" s="58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</row>
    <row r="60" spans="1:70" s="61" customFormat="1" ht="12.75" customHeight="1" x14ac:dyDescent="0.2">
      <c r="A60" s="1"/>
      <c r="B60" s="293" t="s">
        <v>213</v>
      </c>
      <c r="C60" s="314"/>
      <c r="D60" s="315">
        <v>8157</v>
      </c>
      <c r="E60" s="315">
        <v>8400</v>
      </c>
      <c r="F60" s="315">
        <v>7110</v>
      </c>
      <c r="G60" s="133">
        <f t="shared" si="41"/>
        <v>-100000</v>
      </c>
      <c r="H60" s="132"/>
      <c r="I60" s="132"/>
      <c r="J60" s="132"/>
      <c r="K60" s="132"/>
      <c r="L60" s="132"/>
      <c r="M60" s="133"/>
      <c r="N60" s="133">
        <v>-100000</v>
      </c>
      <c r="O60" s="133">
        <v>0</v>
      </c>
      <c r="P60" s="133">
        <f t="shared" si="39"/>
        <v>-100000</v>
      </c>
      <c r="Q60" s="133">
        <v>0</v>
      </c>
      <c r="R60" s="137">
        <f t="shared" si="40"/>
        <v>0</v>
      </c>
      <c r="S60" s="302"/>
      <c r="T60" s="141" t="s">
        <v>173</v>
      </c>
      <c r="U60" s="139"/>
      <c r="V60" s="139"/>
      <c r="W60" s="304"/>
      <c r="X60" s="139"/>
      <c r="Y60" s="139"/>
      <c r="Z60" s="304"/>
      <c r="AA60" s="139"/>
      <c r="AB60" s="308"/>
      <c r="AC60" s="308"/>
      <c r="AD60" s="308"/>
      <c r="AE60" s="139"/>
      <c r="AF60" s="139"/>
      <c r="AG60" s="139"/>
      <c r="AH60" s="139"/>
      <c r="AI60" s="139"/>
      <c r="AJ60" s="139">
        <f t="shared" si="36"/>
        <v>0</v>
      </c>
      <c r="AK60" s="139">
        <f t="shared" si="37"/>
        <v>-15000</v>
      </c>
      <c r="AL60" s="139">
        <f t="shared" si="38"/>
        <v>-12750</v>
      </c>
      <c r="AM60" s="139"/>
      <c r="AN60" s="139"/>
      <c r="AO60" s="139"/>
      <c r="AP60" s="86"/>
      <c r="AQ60" s="270">
        <v>-50000</v>
      </c>
      <c r="AR60" s="1"/>
      <c r="AS60" s="58"/>
      <c r="AT60" s="58"/>
      <c r="AU60" s="58"/>
      <c r="AV60" s="58"/>
      <c r="AW60" s="58"/>
      <c r="AX60" s="58"/>
      <c r="AY60" s="58"/>
      <c r="AZ60" s="58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</row>
    <row r="61" spans="1:70" s="61" customFormat="1" ht="12.75" hidden="1" customHeight="1" x14ac:dyDescent="0.2">
      <c r="A61" s="1"/>
      <c r="B61" s="293" t="s">
        <v>214</v>
      </c>
      <c r="C61" s="314"/>
      <c r="D61" s="315"/>
      <c r="E61" s="315"/>
      <c r="F61" s="315"/>
      <c r="G61" s="133">
        <f t="shared" si="41"/>
        <v>0</v>
      </c>
      <c r="H61" s="132">
        <v>-30000</v>
      </c>
      <c r="I61" s="132">
        <v>0</v>
      </c>
      <c r="J61" s="132"/>
      <c r="K61" s="132"/>
      <c r="L61" s="132"/>
      <c r="M61" s="133"/>
      <c r="N61" s="133"/>
      <c r="O61" s="133">
        <v>0</v>
      </c>
      <c r="P61" s="133">
        <f t="shared" si="39"/>
        <v>0</v>
      </c>
      <c r="Q61" s="133"/>
      <c r="R61" s="137" t="e">
        <f t="shared" si="40"/>
        <v>#DIV/0!</v>
      </c>
      <c r="S61" s="136"/>
      <c r="T61" s="141"/>
      <c r="U61" s="139"/>
      <c r="V61" s="139"/>
      <c r="W61" s="304"/>
      <c r="X61" s="139"/>
      <c r="Y61" s="139"/>
      <c r="Z61" s="304"/>
      <c r="AA61" s="139"/>
      <c r="AB61" s="308"/>
      <c r="AC61" s="308"/>
      <c r="AD61" s="308"/>
      <c r="AE61" s="139"/>
      <c r="AF61" s="139"/>
      <c r="AG61" s="139"/>
      <c r="AH61" s="139"/>
      <c r="AI61" s="139"/>
      <c r="AJ61" s="139"/>
      <c r="AK61" s="139"/>
      <c r="AL61" s="139"/>
      <c r="AM61" s="139"/>
      <c r="AN61" s="139"/>
      <c r="AO61" s="139"/>
      <c r="AP61" s="86"/>
      <c r="AQ61" s="270"/>
      <c r="AR61" s="1"/>
      <c r="AS61" s="58"/>
      <c r="AT61" s="58"/>
      <c r="AU61" s="58"/>
      <c r="AV61" s="58"/>
      <c r="AW61" s="58"/>
      <c r="AX61" s="58"/>
      <c r="AY61" s="58"/>
      <c r="AZ61" s="58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</row>
    <row r="62" spans="1:70" s="61" customFormat="1" ht="12.75" customHeight="1" x14ac:dyDescent="0.2">
      <c r="A62" s="1"/>
      <c r="B62" s="293" t="s">
        <v>215</v>
      </c>
      <c r="C62" s="314"/>
      <c r="D62" s="315">
        <v>8158</v>
      </c>
      <c r="E62" s="315">
        <v>8400</v>
      </c>
      <c r="F62" s="315">
        <v>7110</v>
      </c>
      <c r="G62" s="133">
        <f t="shared" si="41"/>
        <v>-150000</v>
      </c>
      <c r="H62" s="132"/>
      <c r="I62" s="132"/>
      <c r="J62" s="132"/>
      <c r="K62" s="132"/>
      <c r="L62" s="132"/>
      <c r="M62" s="133"/>
      <c r="N62" s="133">
        <v>-150000</v>
      </c>
      <c r="O62" s="133">
        <v>0</v>
      </c>
      <c r="P62" s="133">
        <f t="shared" si="39"/>
        <v>-150000</v>
      </c>
      <c r="Q62" s="133">
        <v>0</v>
      </c>
      <c r="R62" s="137">
        <f t="shared" si="40"/>
        <v>0</v>
      </c>
      <c r="S62" s="143" t="s">
        <v>216</v>
      </c>
      <c r="T62" s="141" t="s">
        <v>173</v>
      </c>
      <c r="U62" s="139"/>
      <c r="V62" s="139"/>
      <c r="W62" s="304"/>
      <c r="X62" s="139"/>
      <c r="Y62" s="139"/>
      <c r="Z62" s="304"/>
      <c r="AA62" s="139"/>
      <c r="AB62" s="308"/>
      <c r="AC62" s="308"/>
      <c r="AD62" s="308"/>
      <c r="AE62" s="139"/>
      <c r="AF62" s="139"/>
      <c r="AG62" s="139"/>
      <c r="AH62" s="139"/>
      <c r="AI62" s="139"/>
      <c r="AJ62" s="139">
        <f t="shared" si="36"/>
        <v>0</v>
      </c>
      <c r="AK62" s="139">
        <f t="shared" si="37"/>
        <v>-22500</v>
      </c>
      <c r="AL62" s="139">
        <f t="shared" si="38"/>
        <v>-19125</v>
      </c>
      <c r="AM62" s="139"/>
      <c r="AN62" s="139"/>
      <c r="AO62" s="139"/>
      <c r="AP62" s="86"/>
      <c r="AQ62" s="270">
        <v>-150000</v>
      </c>
      <c r="AR62" s="1"/>
      <c r="AS62" s="58"/>
      <c r="AT62" s="58"/>
      <c r="AU62" s="58"/>
      <c r="AV62" s="58"/>
      <c r="AW62" s="58"/>
      <c r="AX62" s="58"/>
      <c r="AY62" s="58"/>
      <c r="AZ62" s="58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</row>
    <row r="63" spans="1:70" s="57" customFormat="1" ht="12.75" customHeight="1" x14ac:dyDescent="0.2">
      <c r="A63" s="7"/>
      <c r="B63" s="293" t="s">
        <v>217</v>
      </c>
      <c r="C63" s="314"/>
      <c r="D63" s="315"/>
      <c r="E63" s="315"/>
      <c r="F63" s="315"/>
      <c r="G63" s="133"/>
      <c r="H63" s="132"/>
      <c r="I63" s="132"/>
      <c r="J63" s="132"/>
      <c r="K63" s="132"/>
      <c r="L63" s="132"/>
      <c r="M63" s="133"/>
      <c r="N63" s="133">
        <v>0</v>
      </c>
      <c r="O63" s="289">
        <v>-40000</v>
      </c>
      <c r="P63" s="289">
        <f t="shared" si="39"/>
        <v>-40000</v>
      </c>
      <c r="Q63" s="133">
        <v>0</v>
      </c>
      <c r="R63" s="137">
        <v>0</v>
      </c>
      <c r="S63" s="143" t="s">
        <v>218</v>
      </c>
      <c r="T63" s="141" t="s">
        <v>173</v>
      </c>
      <c r="U63" s="139"/>
      <c r="V63" s="139"/>
      <c r="W63" s="304"/>
      <c r="X63" s="139"/>
      <c r="Y63" s="139"/>
      <c r="Z63" s="304"/>
      <c r="AA63" s="139"/>
      <c r="AB63" s="308"/>
      <c r="AC63" s="308"/>
      <c r="AD63" s="308"/>
      <c r="AE63" s="139"/>
      <c r="AF63" s="139"/>
      <c r="AG63" s="139"/>
      <c r="AH63" s="139"/>
      <c r="AI63" s="139"/>
      <c r="AJ63" s="139"/>
      <c r="AK63" s="139"/>
      <c r="AL63" s="139"/>
      <c r="AM63" s="139"/>
      <c r="AN63" s="139"/>
      <c r="AO63" s="139"/>
      <c r="AP63" s="86"/>
      <c r="AQ63" s="270">
        <v>-40000</v>
      </c>
      <c r="AR63" s="1"/>
      <c r="AS63" s="59"/>
      <c r="AT63" s="59"/>
      <c r="AU63" s="59"/>
      <c r="AV63" s="59"/>
      <c r="AW63" s="59"/>
      <c r="AX63" s="59"/>
      <c r="AY63" s="59"/>
      <c r="AZ63" s="59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</row>
    <row r="64" spans="1:70" s="7" customFormat="1" ht="12.75" customHeight="1" x14ac:dyDescent="0.2">
      <c r="B64" s="262" t="s">
        <v>219</v>
      </c>
      <c r="C64" s="263"/>
      <c r="D64" s="264"/>
      <c r="E64" s="264"/>
      <c r="F64" s="264"/>
      <c r="G64" s="271">
        <f t="shared" ref="G64:L64" si="42">SUM(G46,G47,G48,G49,G53,G54,G55,G56,G58,G59,G60,G62)</f>
        <v>-2806698.39</v>
      </c>
      <c r="H64" s="271">
        <f t="shared" si="42"/>
        <v>-270000</v>
      </c>
      <c r="I64" s="271">
        <f t="shared" si="42"/>
        <v>-121525</v>
      </c>
      <c r="J64" s="271">
        <f t="shared" si="42"/>
        <v>-480000</v>
      </c>
      <c r="K64" s="271">
        <f t="shared" si="42"/>
        <v>-237405</v>
      </c>
      <c r="L64" s="271">
        <f t="shared" si="42"/>
        <v>-270000</v>
      </c>
      <c r="M64" s="271">
        <f>SUM(M45:M62)</f>
        <v>-229836.68</v>
      </c>
      <c r="N64" s="271">
        <f>SUM(N46:N63)</f>
        <v>-1850000</v>
      </c>
      <c r="O64" s="271">
        <f>SUM(O46:O63)</f>
        <v>347950</v>
      </c>
      <c r="P64" s="271">
        <f>SUM(P46:P63)</f>
        <v>-1502050</v>
      </c>
      <c r="Q64" s="271">
        <f>SUM(Q46:Q63)</f>
        <v>-155735.69</v>
      </c>
      <c r="R64" s="272">
        <f t="shared" ref="R64" si="43">Q64/P64</f>
        <v>0.10368209447088979</v>
      </c>
      <c r="S64" s="271"/>
      <c r="T64" s="271"/>
      <c r="U64" s="316">
        <f>SUM(U46,U47,U48,U49,U53,U54,U55,U56,U58,U59,U60,U62)</f>
        <v>-480000</v>
      </c>
      <c r="V64" s="316"/>
      <c r="W64" s="317"/>
      <c r="X64" s="316">
        <f>SUM(X46,X47,X48,X49,X53,X54,X55,X56,X58,X59,X60,X62)</f>
        <v>0</v>
      </c>
      <c r="Y64" s="316"/>
      <c r="Z64" s="317"/>
      <c r="AA64" s="316">
        <f>SUM(AA46,AA47,AA48,AA49,AA53,AA54,AA55,AA56,AA58,AA59,AA60,AA62)</f>
        <v>0</v>
      </c>
      <c r="AB64" s="318"/>
      <c r="AC64" s="318"/>
      <c r="AD64" s="318">
        <f t="shared" ref="AD64:AO64" si="44">SUM(AD45:AD62)</f>
        <v>0</v>
      </c>
      <c r="AE64" s="316">
        <f t="shared" si="44"/>
        <v>0</v>
      </c>
      <c r="AF64" s="316">
        <f t="shared" si="44"/>
        <v>0</v>
      </c>
      <c r="AG64" s="316">
        <f t="shared" si="44"/>
        <v>0</v>
      </c>
      <c r="AH64" s="316">
        <f t="shared" si="44"/>
        <v>0</v>
      </c>
      <c r="AI64" s="316">
        <f t="shared" si="44"/>
        <v>0</v>
      </c>
      <c r="AJ64" s="316">
        <f t="shared" si="44"/>
        <v>-56607.15</v>
      </c>
      <c r="AK64" s="316">
        <f t="shared" si="44"/>
        <v>-325616.07750000001</v>
      </c>
      <c r="AL64" s="316">
        <f t="shared" si="44"/>
        <v>-348773.66587500001</v>
      </c>
      <c r="AM64" s="316">
        <f t="shared" si="44"/>
        <v>0</v>
      </c>
      <c r="AN64" s="316">
        <f t="shared" si="44"/>
        <v>0</v>
      </c>
      <c r="AO64" s="316">
        <f t="shared" si="44"/>
        <v>0</v>
      </c>
      <c r="AP64" s="115"/>
      <c r="AQ64" s="274">
        <f>SUM(AQ46:AQ63)</f>
        <v>-1192050</v>
      </c>
      <c r="AR64" s="1"/>
      <c r="AS64" s="59"/>
      <c r="AT64" s="59"/>
      <c r="AU64" s="59"/>
      <c r="AV64" s="59"/>
      <c r="AW64" s="59"/>
      <c r="AX64" s="59"/>
      <c r="AY64" s="59"/>
      <c r="AZ64" s="59"/>
    </row>
    <row r="65" spans="1:70" s="57" customFormat="1" ht="12.75" customHeight="1" x14ac:dyDescent="0.2">
      <c r="A65" s="7"/>
      <c r="B65" s="145"/>
      <c r="C65" s="149"/>
      <c r="D65" s="254"/>
      <c r="E65" s="254"/>
      <c r="F65" s="254"/>
      <c r="G65" s="275"/>
      <c r="H65" s="275"/>
      <c r="I65" s="275"/>
      <c r="J65" s="275"/>
      <c r="K65" s="275"/>
      <c r="L65" s="319"/>
      <c r="M65" s="275"/>
      <c r="N65" s="275"/>
      <c r="O65" s="275"/>
      <c r="P65" s="275"/>
      <c r="Q65" s="275"/>
      <c r="R65" s="275"/>
      <c r="S65" s="254"/>
      <c r="T65" s="275"/>
      <c r="U65" s="319"/>
      <c r="V65" s="319"/>
      <c r="W65" s="320"/>
      <c r="X65" s="319"/>
      <c r="Y65" s="319"/>
      <c r="Z65" s="320"/>
      <c r="AA65" s="319"/>
      <c r="AB65" s="321"/>
      <c r="AC65" s="321"/>
      <c r="AD65" s="321"/>
      <c r="AE65" s="319"/>
      <c r="AF65" s="319"/>
      <c r="AG65" s="319"/>
      <c r="AH65" s="319"/>
      <c r="AI65" s="319"/>
      <c r="AJ65" s="319"/>
      <c r="AK65" s="319"/>
      <c r="AL65" s="319"/>
      <c r="AM65" s="319"/>
      <c r="AN65" s="319"/>
      <c r="AO65" s="319"/>
      <c r="AP65" s="115"/>
      <c r="AQ65" s="274"/>
      <c r="AR65" s="1"/>
      <c r="AS65" s="58"/>
      <c r="AT65" s="58"/>
      <c r="AU65" s="58"/>
      <c r="AV65" s="58"/>
      <c r="AW65" s="58"/>
      <c r="AX65" s="58"/>
      <c r="AY65" s="58"/>
      <c r="AZ65" s="58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</row>
    <row r="66" spans="1:70" ht="12.75" customHeight="1" x14ac:dyDescent="0.2">
      <c r="B66" s="262" t="s">
        <v>220</v>
      </c>
      <c r="C66" s="263"/>
      <c r="D66" s="264"/>
      <c r="E66" s="264"/>
      <c r="F66" s="264"/>
      <c r="G66" s="271"/>
      <c r="H66" s="271"/>
      <c r="I66" s="271"/>
      <c r="J66" s="271"/>
      <c r="K66" s="271"/>
      <c r="L66" s="271"/>
      <c r="M66" s="271"/>
      <c r="N66" s="271"/>
      <c r="O66" s="271"/>
      <c r="P66" s="271"/>
      <c r="Q66" s="271"/>
      <c r="R66" s="271"/>
      <c r="S66" s="264"/>
      <c r="T66" s="271"/>
      <c r="U66" s="316"/>
      <c r="V66" s="316"/>
      <c r="W66" s="317"/>
      <c r="X66" s="316"/>
      <c r="Y66" s="316"/>
      <c r="Z66" s="317"/>
      <c r="AA66" s="316"/>
      <c r="AB66" s="318"/>
      <c r="AC66" s="318"/>
      <c r="AD66" s="318"/>
      <c r="AE66" s="316"/>
      <c r="AF66" s="316"/>
      <c r="AG66" s="316"/>
      <c r="AH66" s="316"/>
      <c r="AI66" s="316"/>
      <c r="AJ66" s="316"/>
      <c r="AK66" s="316"/>
      <c r="AL66" s="316"/>
      <c r="AM66" s="316"/>
      <c r="AN66" s="316"/>
      <c r="AO66" s="316"/>
      <c r="AP66" s="86"/>
      <c r="AQ66" s="274"/>
      <c r="AS66" s="58"/>
      <c r="AT66" s="58"/>
      <c r="AU66" s="58"/>
      <c r="AV66" s="58"/>
      <c r="AW66" s="58"/>
      <c r="AX66" s="58"/>
      <c r="AY66" s="58"/>
      <c r="AZ66" s="58"/>
    </row>
    <row r="67" spans="1:70" ht="12.75" hidden="1" customHeight="1" x14ac:dyDescent="0.2">
      <c r="B67" s="134" t="s">
        <v>102</v>
      </c>
      <c r="C67" s="135" t="s">
        <v>221</v>
      </c>
      <c r="D67" s="136">
        <v>8133</v>
      </c>
      <c r="E67" s="136">
        <v>8420</v>
      </c>
      <c r="F67" s="136">
        <v>7147</v>
      </c>
      <c r="G67" s="133">
        <f t="shared" ref="G67:G79" si="45">SUM(I67,K67,M67:AA67)</f>
        <v>-14832.67</v>
      </c>
      <c r="H67" s="133">
        <v>0</v>
      </c>
      <c r="I67" s="133">
        <v>2400</v>
      </c>
      <c r="J67" s="133">
        <v>-10000</v>
      </c>
      <c r="K67" s="133">
        <v>-13124</v>
      </c>
      <c r="L67" s="133">
        <v>0</v>
      </c>
      <c r="M67" s="133">
        <v>-4108.67</v>
      </c>
      <c r="N67" s="133"/>
      <c r="O67" s="133"/>
      <c r="P67" s="133"/>
      <c r="Q67" s="133"/>
      <c r="R67" s="133"/>
      <c r="S67" s="136"/>
      <c r="T67" s="133"/>
      <c r="U67" s="307"/>
      <c r="V67" s="307"/>
      <c r="W67" s="303"/>
      <c r="X67" s="307"/>
      <c r="Y67" s="307"/>
      <c r="Z67" s="303"/>
      <c r="AA67" s="307"/>
      <c r="AB67" s="322"/>
      <c r="AC67" s="322"/>
      <c r="AD67" s="322"/>
      <c r="AE67" s="307"/>
      <c r="AF67" s="307"/>
      <c r="AG67" s="307"/>
      <c r="AH67" s="307"/>
      <c r="AI67" s="307"/>
      <c r="AJ67" s="307"/>
      <c r="AK67" s="307"/>
      <c r="AL67" s="307"/>
      <c r="AM67" s="307"/>
      <c r="AN67" s="307"/>
      <c r="AO67" s="307"/>
      <c r="AP67" s="86"/>
      <c r="AQ67" s="270"/>
      <c r="AS67" s="58"/>
      <c r="AT67" s="58"/>
      <c r="AU67" s="58"/>
      <c r="AV67" s="58"/>
      <c r="AW67" s="58"/>
      <c r="AX67" s="58"/>
      <c r="AY67" s="58"/>
      <c r="AZ67" s="58"/>
    </row>
    <row r="68" spans="1:70" ht="12.75" hidden="1" customHeight="1" x14ac:dyDescent="0.2">
      <c r="B68" s="134" t="s">
        <v>102</v>
      </c>
      <c r="C68" s="135" t="s">
        <v>221</v>
      </c>
      <c r="D68" s="136">
        <v>8133</v>
      </c>
      <c r="E68" s="136">
        <v>8420</v>
      </c>
      <c r="F68" s="136">
        <v>7147</v>
      </c>
      <c r="G68" s="133">
        <f t="shared" si="45"/>
        <v>-1715</v>
      </c>
      <c r="H68" s="133">
        <v>-20000</v>
      </c>
      <c r="I68" s="133">
        <v>-5715</v>
      </c>
      <c r="J68" s="133">
        <v>0</v>
      </c>
      <c r="K68" s="133">
        <v>4000</v>
      </c>
      <c r="L68" s="133"/>
      <c r="M68" s="133"/>
      <c r="N68" s="133"/>
      <c r="O68" s="133"/>
      <c r="P68" s="133"/>
      <c r="Q68" s="133"/>
      <c r="R68" s="133"/>
      <c r="S68" s="136"/>
      <c r="T68" s="133"/>
      <c r="U68" s="307"/>
      <c r="V68" s="307"/>
      <c r="W68" s="303"/>
      <c r="X68" s="307"/>
      <c r="Y68" s="307"/>
      <c r="Z68" s="303"/>
      <c r="AA68" s="307"/>
      <c r="AB68" s="322"/>
      <c r="AC68" s="322"/>
      <c r="AD68" s="322"/>
      <c r="AE68" s="307"/>
      <c r="AF68" s="307"/>
      <c r="AG68" s="307"/>
      <c r="AH68" s="307"/>
      <c r="AI68" s="307"/>
      <c r="AJ68" s="307"/>
      <c r="AK68" s="307"/>
      <c r="AL68" s="307"/>
      <c r="AM68" s="307"/>
      <c r="AN68" s="307"/>
      <c r="AO68" s="307"/>
      <c r="AP68" s="86"/>
      <c r="AQ68" s="270"/>
      <c r="AS68" s="58"/>
      <c r="AT68" s="58"/>
      <c r="AU68" s="58"/>
      <c r="AV68" s="58"/>
      <c r="AW68" s="58"/>
      <c r="AX68" s="58"/>
      <c r="AY68" s="58"/>
      <c r="AZ68" s="58"/>
    </row>
    <row r="69" spans="1:70" ht="12.75" customHeight="1" x14ac:dyDescent="0.2">
      <c r="B69" s="134" t="s">
        <v>222</v>
      </c>
      <c r="C69" s="135" t="s">
        <v>221</v>
      </c>
      <c r="D69" s="136">
        <v>8145</v>
      </c>
      <c r="E69" s="136">
        <v>8420</v>
      </c>
      <c r="F69" s="136">
        <v>7153</v>
      </c>
      <c r="G69" s="133">
        <f t="shared" si="45"/>
        <v>-24697.3</v>
      </c>
      <c r="H69" s="133"/>
      <c r="I69" s="133"/>
      <c r="J69" s="133"/>
      <c r="K69" s="133"/>
      <c r="L69" s="133">
        <v>-15000</v>
      </c>
      <c r="M69" s="133">
        <v>-23697.3</v>
      </c>
      <c r="N69" s="133">
        <v>0</v>
      </c>
      <c r="O69" s="133">
        <v>0</v>
      </c>
      <c r="P69" s="133">
        <v>0</v>
      </c>
      <c r="Q69" s="133">
        <v>-1000</v>
      </c>
      <c r="R69" s="137">
        <v>0</v>
      </c>
      <c r="S69" s="136"/>
      <c r="T69" s="133"/>
      <c r="U69" s="307"/>
      <c r="V69" s="307"/>
      <c r="W69" s="303"/>
      <c r="X69" s="307"/>
      <c r="Y69" s="307"/>
      <c r="Z69" s="303"/>
      <c r="AA69" s="307"/>
      <c r="AB69" s="322"/>
      <c r="AC69" s="322"/>
      <c r="AD69" s="322"/>
      <c r="AE69" s="307"/>
      <c r="AF69" s="307"/>
      <c r="AG69" s="307"/>
      <c r="AH69" s="307"/>
      <c r="AI69" s="307"/>
      <c r="AJ69" s="307"/>
      <c r="AK69" s="307"/>
      <c r="AL69" s="307"/>
      <c r="AM69" s="307"/>
      <c r="AN69" s="307"/>
      <c r="AO69" s="307"/>
      <c r="AP69" s="86"/>
      <c r="AQ69" s="270">
        <v>-1000</v>
      </c>
      <c r="AS69" s="58"/>
      <c r="AT69" s="58"/>
      <c r="AU69" s="58"/>
      <c r="AV69" s="58"/>
      <c r="AW69" s="58"/>
      <c r="AX69" s="58"/>
      <c r="AY69" s="58"/>
      <c r="AZ69" s="58"/>
    </row>
    <row r="70" spans="1:70" ht="12.75" hidden="1" customHeight="1" x14ac:dyDescent="0.2">
      <c r="B70" s="268" t="s">
        <v>105</v>
      </c>
      <c r="C70" s="135" t="s">
        <v>221</v>
      </c>
      <c r="D70" s="136">
        <v>8159</v>
      </c>
      <c r="E70" s="136">
        <v>8320</v>
      </c>
      <c r="F70" s="136">
        <v>7216</v>
      </c>
      <c r="G70" s="133">
        <f t="shared" si="45"/>
        <v>-32100</v>
      </c>
      <c r="H70" s="133">
        <v>-35000</v>
      </c>
      <c r="I70" s="133">
        <v>-32100</v>
      </c>
      <c r="J70" s="133"/>
      <c r="K70" s="133"/>
      <c r="L70" s="133"/>
      <c r="M70" s="133"/>
      <c r="N70" s="133"/>
      <c r="O70" s="133"/>
      <c r="P70" s="133"/>
      <c r="Q70" s="133"/>
      <c r="R70" s="133"/>
      <c r="S70" s="136"/>
      <c r="T70" s="133"/>
      <c r="U70" s="307"/>
      <c r="V70" s="307"/>
      <c r="W70" s="303"/>
      <c r="X70" s="307"/>
      <c r="Y70" s="307"/>
      <c r="Z70" s="303"/>
      <c r="AA70" s="307"/>
      <c r="AB70" s="322"/>
      <c r="AC70" s="322"/>
      <c r="AD70" s="322"/>
      <c r="AE70" s="307"/>
      <c r="AF70" s="307"/>
      <c r="AG70" s="307"/>
      <c r="AH70" s="307"/>
      <c r="AI70" s="307"/>
      <c r="AJ70" s="307"/>
      <c r="AK70" s="307"/>
      <c r="AL70" s="307"/>
      <c r="AM70" s="307"/>
      <c r="AN70" s="307"/>
      <c r="AO70" s="307"/>
      <c r="AP70" s="86"/>
      <c r="AQ70" s="270"/>
      <c r="AS70" s="58"/>
      <c r="AT70" s="58"/>
      <c r="AU70" s="58"/>
      <c r="AV70" s="58"/>
      <c r="AW70" s="58"/>
      <c r="AX70" s="58"/>
      <c r="AY70" s="58"/>
      <c r="AZ70" s="58"/>
    </row>
    <row r="71" spans="1:70" ht="12.75" hidden="1" customHeight="1" x14ac:dyDescent="0.2">
      <c r="B71" s="134" t="s">
        <v>111</v>
      </c>
      <c r="C71" s="135" t="s">
        <v>221</v>
      </c>
      <c r="D71" s="136">
        <v>8112</v>
      </c>
      <c r="E71" s="136">
        <v>8410</v>
      </c>
      <c r="F71" s="136">
        <v>7130</v>
      </c>
      <c r="G71" s="133">
        <f t="shared" si="45"/>
        <v>-11740</v>
      </c>
      <c r="H71" s="133">
        <v>-12000</v>
      </c>
      <c r="I71" s="133">
        <v>-2962</v>
      </c>
      <c r="J71" s="133">
        <v>-10000</v>
      </c>
      <c r="K71" s="133">
        <v>-8778</v>
      </c>
      <c r="L71" s="133"/>
      <c r="M71" s="133"/>
      <c r="N71" s="133"/>
      <c r="O71" s="133"/>
      <c r="P71" s="133"/>
      <c r="Q71" s="133"/>
      <c r="R71" s="133"/>
      <c r="S71" s="136"/>
      <c r="T71" s="133"/>
      <c r="U71" s="307"/>
      <c r="V71" s="307"/>
      <c r="W71" s="303"/>
      <c r="X71" s="307"/>
      <c r="Y71" s="307"/>
      <c r="Z71" s="303"/>
      <c r="AA71" s="307"/>
      <c r="AB71" s="322"/>
      <c r="AC71" s="322"/>
      <c r="AD71" s="322"/>
      <c r="AE71" s="307"/>
      <c r="AF71" s="307"/>
      <c r="AG71" s="307"/>
      <c r="AH71" s="307"/>
      <c r="AI71" s="307"/>
      <c r="AJ71" s="307"/>
      <c r="AK71" s="307"/>
      <c r="AL71" s="307"/>
      <c r="AM71" s="307"/>
      <c r="AN71" s="307"/>
      <c r="AO71" s="307"/>
      <c r="AP71" s="86"/>
      <c r="AQ71" s="270"/>
      <c r="AS71" s="58"/>
      <c r="AT71" s="58"/>
      <c r="AU71" s="58"/>
      <c r="AV71" s="58"/>
      <c r="AW71" s="58"/>
      <c r="AX71" s="58"/>
      <c r="AY71" s="58"/>
      <c r="AZ71" s="58"/>
    </row>
    <row r="72" spans="1:70" s="61" customFormat="1" ht="12.75" hidden="1" customHeight="1" x14ac:dyDescent="0.2">
      <c r="A72" s="1"/>
      <c r="B72" s="268" t="s">
        <v>107</v>
      </c>
      <c r="C72" s="135" t="s">
        <v>221</v>
      </c>
      <c r="D72" s="136">
        <v>8127</v>
      </c>
      <c r="E72" s="136">
        <v>8420</v>
      </c>
      <c r="F72" s="136">
        <v>7151</v>
      </c>
      <c r="G72" s="133">
        <f t="shared" si="45"/>
        <v>-9286.6299999999992</v>
      </c>
      <c r="H72" s="133">
        <v>-5000</v>
      </c>
      <c r="I72" s="133">
        <v>0</v>
      </c>
      <c r="J72" s="268"/>
      <c r="K72" s="133"/>
      <c r="L72" s="133">
        <v>-10000</v>
      </c>
      <c r="M72" s="133">
        <v>-9286.6299999999992</v>
      </c>
      <c r="N72" s="133"/>
      <c r="O72" s="133"/>
      <c r="P72" s="133"/>
      <c r="Q72" s="133"/>
      <c r="R72" s="133"/>
      <c r="S72" s="136"/>
      <c r="T72" s="133"/>
      <c r="U72" s="307"/>
      <c r="V72" s="307"/>
      <c r="W72" s="303"/>
      <c r="X72" s="307"/>
      <c r="Y72" s="307"/>
      <c r="Z72" s="303"/>
      <c r="AA72" s="323"/>
      <c r="AB72" s="324"/>
      <c r="AC72" s="324"/>
      <c r="AD72" s="324"/>
      <c r="AE72" s="323"/>
      <c r="AF72" s="323"/>
      <c r="AG72" s="323"/>
      <c r="AH72" s="323"/>
      <c r="AI72" s="323"/>
      <c r="AJ72" s="307"/>
      <c r="AK72" s="307"/>
      <c r="AL72" s="307"/>
      <c r="AM72" s="307"/>
      <c r="AN72" s="307"/>
      <c r="AO72" s="307"/>
      <c r="AP72" s="86"/>
      <c r="AQ72" s="325"/>
      <c r="AR72" s="1"/>
      <c r="AS72" s="58"/>
      <c r="AT72" s="58"/>
      <c r="AU72" s="58"/>
      <c r="AV72" s="58"/>
      <c r="AW72" s="58"/>
      <c r="AX72" s="58"/>
      <c r="AY72" s="58"/>
      <c r="AZ72" s="58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</row>
    <row r="73" spans="1:70" ht="12.75" customHeight="1" x14ac:dyDescent="0.2">
      <c r="B73" s="301" t="s">
        <v>223</v>
      </c>
      <c r="C73" s="135" t="s">
        <v>221</v>
      </c>
      <c r="D73" s="315">
        <v>8128</v>
      </c>
      <c r="E73" s="315">
        <v>8410</v>
      </c>
      <c r="F73" s="315">
        <v>7150</v>
      </c>
      <c r="G73" s="133">
        <f>SUM(I73,K73,M73,N73,U73:AA73)</f>
        <v>-115549.26000000001</v>
      </c>
      <c r="H73" s="301"/>
      <c r="I73" s="132"/>
      <c r="J73" s="301"/>
      <c r="K73" s="132"/>
      <c r="L73" s="132">
        <v>-50000</v>
      </c>
      <c r="M73" s="133">
        <v>-55549.26</v>
      </c>
      <c r="N73" s="133">
        <v>-60000</v>
      </c>
      <c r="O73" s="133">
        <v>0</v>
      </c>
      <c r="P73" s="133">
        <f t="shared" ref="P73:P79" si="46">N73+O73</f>
        <v>-60000</v>
      </c>
      <c r="Q73" s="133">
        <v>-47092.15</v>
      </c>
      <c r="R73" s="137">
        <f t="shared" ref="R73:R77" si="47">Q73/P73</f>
        <v>0.78486916666666673</v>
      </c>
      <c r="S73" s="136" t="s">
        <v>224</v>
      </c>
      <c r="T73" s="141" t="s">
        <v>173</v>
      </c>
      <c r="U73" s="139"/>
      <c r="V73" s="139"/>
      <c r="W73" s="304"/>
      <c r="X73" s="139"/>
      <c r="Y73" s="139"/>
      <c r="Z73" s="304"/>
      <c r="AA73" s="305"/>
      <c r="AB73" s="306"/>
      <c r="AC73" s="306"/>
      <c r="AD73" s="306"/>
      <c r="AE73" s="305"/>
      <c r="AF73" s="305"/>
      <c r="AG73" s="305"/>
      <c r="AH73" s="305"/>
      <c r="AI73" s="305"/>
      <c r="AJ73" s="139"/>
      <c r="AK73" s="139"/>
      <c r="AL73" s="139"/>
      <c r="AM73" s="139"/>
      <c r="AN73" s="139"/>
      <c r="AO73" s="139"/>
      <c r="AP73" s="86"/>
      <c r="AQ73" s="283">
        <v>-60000</v>
      </c>
      <c r="AS73" s="58"/>
      <c r="AT73" s="58"/>
      <c r="AU73" s="58"/>
      <c r="AV73" s="58"/>
      <c r="AW73" s="58"/>
      <c r="AX73" s="58"/>
      <c r="AY73" s="58"/>
      <c r="AZ73" s="58"/>
    </row>
    <row r="74" spans="1:70" ht="12.75" hidden="1" customHeight="1" x14ac:dyDescent="0.2">
      <c r="B74" s="268" t="s">
        <v>100</v>
      </c>
      <c r="C74" s="135" t="s">
        <v>221</v>
      </c>
      <c r="D74" s="136">
        <v>8114</v>
      </c>
      <c r="E74" s="136">
        <v>8420</v>
      </c>
      <c r="F74" s="136">
        <v>7145</v>
      </c>
      <c r="G74" s="133">
        <f t="shared" ref="G74:G77" si="48">SUM(I74,K74,M74,N74,U74:AA74)</f>
        <v>-5447</v>
      </c>
      <c r="H74" s="133">
        <v>-10000</v>
      </c>
      <c r="I74" s="133">
        <v>-5447</v>
      </c>
      <c r="J74" s="268"/>
      <c r="K74" s="133"/>
      <c r="L74" s="133"/>
      <c r="M74" s="133"/>
      <c r="N74" s="133"/>
      <c r="O74" s="133">
        <v>0</v>
      </c>
      <c r="P74" s="133">
        <f t="shared" si="46"/>
        <v>0</v>
      </c>
      <c r="Q74" s="133"/>
      <c r="R74" s="137" t="e">
        <f t="shared" si="47"/>
        <v>#DIV/0!</v>
      </c>
      <c r="S74" s="136"/>
      <c r="T74" s="141"/>
      <c r="U74" s="307"/>
      <c r="V74" s="307"/>
      <c r="W74" s="303"/>
      <c r="X74" s="307"/>
      <c r="Y74" s="307"/>
      <c r="Z74" s="303"/>
      <c r="AA74" s="323"/>
      <c r="AB74" s="324"/>
      <c r="AC74" s="324"/>
      <c r="AD74" s="324"/>
      <c r="AE74" s="323"/>
      <c r="AF74" s="323"/>
      <c r="AG74" s="323"/>
      <c r="AH74" s="323"/>
      <c r="AI74" s="323"/>
      <c r="AJ74" s="307"/>
      <c r="AK74" s="307"/>
      <c r="AL74" s="307"/>
      <c r="AM74" s="307"/>
      <c r="AN74" s="307"/>
      <c r="AO74" s="307"/>
      <c r="AP74" s="86"/>
      <c r="AQ74" s="325"/>
      <c r="AS74" s="58"/>
      <c r="AT74" s="58"/>
      <c r="AU74" s="58"/>
      <c r="AV74" s="58"/>
      <c r="AW74" s="58"/>
      <c r="AX74" s="58"/>
      <c r="AY74" s="58"/>
      <c r="AZ74" s="58"/>
    </row>
    <row r="75" spans="1:70" ht="12.75" hidden="1" customHeight="1" x14ac:dyDescent="0.2">
      <c r="B75" s="134" t="s">
        <v>225</v>
      </c>
      <c r="C75" s="135" t="s">
        <v>221</v>
      </c>
      <c r="D75" s="136">
        <v>8160</v>
      </c>
      <c r="E75" s="136">
        <v>8410</v>
      </c>
      <c r="F75" s="136">
        <v>7153</v>
      </c>
      <c r="G75" s="133">
        <f t="shared" si="48"/>
        <v>-11807</v>
      </c>
      <c r="H75" s="133">
        <v>-25000</v>
      </c>
      <c r="I75" s="133">
        <v>-11807</v>
      </c>
      <c r="J75" s="133"/>
      <c r="K75" s="133"/>
      <c r="L75" s="133"/>
      <c r="M75" s="133"/>
      <c r="N75" s="133"/>
      <c r="O75" s="133">
        <v>0</v>
      </c>
      <c r="P75" s="133">
        <f t="shared" si="46"/>
        <v>0</v>
      </c>
      <c r="Q75" s="133"/>
      <c r="R75" s="137" t="e">
        <f t="shared" si="47"/>
        <v>#DIV/0!</v>
      </c>
      <c r="S75" s="136"/>
      <c r="T75" s="141"/>
      <c r="U75" s="307"/>
      <c r="V75" s="307"/>
      <c r="W75" s="303"/>
      <c r="X75" s="307"/>
      <c r="Y75" s="307"/>
      <c r="Z75" s="303"/>
      <c r="AA75" s="307"/>
      <c r="AB75" s="322"/>
      <c r="AC75" s="322"/>
      <c r="AD75" s="322"/>
      <c r="AE75" s="307"/>
      <c r="AF75" s="307"/>
      <c r="AG75" s="307"/>
      <c r="AH75" s="307"/>
      <c r="AI75" s="307"/>
      <c r="AJ75" s="307"/>
      <c r="AK75" s="307"/>
      <c r="AL75" s="307"/>
      <c r="AM75" s="307"/>
      <c r="AN75" s="307"/>
      <c r="AO75" s="307"/>
      <c r="AP75" s="86"/>
      <c r="AQ75" s="270"/>
      <c r="AS75" s="58"/>
      <c r="AT75" s="58"/>
      <c r="AU75" s="58"/>
      <c r="AV75" s="58"/>
      <c r="AW75" s="58"/>
      <c r="AX75" s="58"/>
      <c r="AY75" s="58"/>
      <c r="AZ75" s="58"/>
    </row>
    <row r="76" spans="1:70" ht="12.75" customHeight="1" x14ac:dyDescent="0.2">
      <c r="B76" s="134" t="s">
        <v>226</v>
      </c>
      <c r="C76" s="135" t="s">
        <v>221</v>
      </c>
      <c r="D76" s="136">
        <v>8161</v>
      </c>
      <c r="E76" s="136">
        <v>8420</v>
      </c>
      <c r="F76" s="136">
        <v>7170</v>
      </c>
      <c r="G76" s="133">
        <f t="shared" si="48"/>
        <v>-40000</v>
      </c>
      <c r="H76" s="133"/>
      <c r="I76" s="133"/>
      <c r="J76" s="133"/>
      <c r="K76" s="133"/>
      <c r="L76" s="133"/>
      <c r="M76" s="133"/>
      <c r="N76" s="133">
        <v>-40000</v>
      </c>
      <c r="O76" s="133">
        <v>0</v>
      </c>
      <c r="P76" s="133">
        <f t="shared" si="46"/>
        <v>-40000</v>
      </c>
      <c r="Q76" s="133">
        <v>-23580</v>
      </c>
      <c r="R76" s="137">
        <f t="shared" si="47"/>
        <v>0.58950000000000002</v>
      </c>
      <c r="S76" s="140">
        <v>44593</v>
      </c>
      <c r="T76" s="141" t="s">
        <v>173</v>
      </c>
      <c r="U76" s="307"/>
      <c r="V76" s="307"/>
      <c r="W76" s="303"/>
      <c r="X76" s="307"/>
      <c r="Y76" s="307"/>
      <c r="Z76" s="303"/>
      <c r="AA76" s="307"/>
      <c r="AB76" s="322"/>
      <c r="AC76" s="322"/>
      <c r="AD76" s="322"/>
      <c r="AE76" s="307"/>
      <c r="AF76" s="307"/>
      <c r="AG76" s="307"/>
      <c r="AH76" s="307"/>
      <c r="AI76" s="307"/>
      <c r="AJ76" s="307"/>
      <c r="AK76" s="307"/>
      <c r="AL76" s="307"/>
      <c r="AM76" s="307"/>
      <c r="AN76" s="307"/>
      <c r="AO76" s="307"/>
      <c r="AP76" s="86"/>
      <c r="AQ76" s="270">
        <v>-60000</v>
      </c>
      <c r="AS76" s="58"/>
      <c r="AT76" s="58"/>
      <c r="AU76" s="58"/>
      <c r="AV76" s="58"/>
      <c r="AW76" s="58"/>
      <c r="AX76" s="58"/>
      <c r="AY76" s="58"/>
      <c r="AZ76" s="58"/>
    </row>
    <row r="77" spans="1:70" ht="12.75" customHeight="1" x14ac:dyDescent="0.2">
      <c r="B77" s="134" t="s">
        <v>227</v>
      </c>
      <c r="C77" s="135" t="s">
        <v>221</v>
      </c>
      <c r="D77" s="136">
        <v>8162</v>
      </c>
      <c r="E77" s="136">
        <v>8410</v>
      </c>
      <c r="F77" s="136">
        <v>7130</v>
      </c>
      <c r="G77" s="133">
        <f t="shared" si="48"/>
        <v>-10000</v>
      </c>
      <c r="H77" s="133"/>
      <c r="I77" s="133"/>
      <c r="J77" s="133"/>
      <c r="K77" s="133"/>
      <c r="L77" s="133"/>
      <c r="M77" s="133"/>
      <c r="N77" s="133">
        <v>-10000</v>
      </c>
      <c r="O77" s="133">
        <v>0</v>
      </c>
      <c r="P77" s="133">
        <f t="shared" si="46"/>
        <v>-10000</v>
      </c>
      <c r="Q77" s="133">
        <v>-9504.0300000000007</v>
      </c>
      <c r="R77" s="137">
        <f t="shared" si="47"/>
        <v>0.95040300000000011</v>
      </c>
      <c r="S77" s="136"/>
      <c r="T77" s="141" t="s">
        <v>173</v>
      </c>
      <c r="U77" s="307"/>
      <c r="V77" s="307"/>
      <c r="W77" s="303"/>
      <c r="X77" s="307"/>
      <c r="Y77" s="307"/>
      <c r="Z77" s="303"/>
      <c r="AA77" s="307"/>
      <c r="AB77" s="322"/>
      <c r="AC77" s="322"/>
      <c r="AD77" s="322"/>
      <c r="AE77" s="307"/>
      <c r="AF77" s="307"/>
      <c r="AG77" s="307"/>
      <c r="AH77" s="307"/>
      <c r="AI77" s="307"/>
      <c r="AJ77" s="307"/>
      <c r="AK77" s="307"/>
      <c r="AL77" s="307"/>
      <c r="AM77" s="307"/>
      <c r="AN77" s="307"/>
      <c r="AO77" s="307"/>
      <c r="AP77" s="86"/>
      <c r="AQ77" s="270">
        <v>-10000</v>
      </c>
      <c r="AS77" s="58"/>
      <c r="AT77" s="58"/>
      <c r="AU77" s="58"/>
      <c r="AV77" s="58"/>
      <c r="AW77" s="58"/>
      <c r="AX77" s="58"/>
      <c r="AY77" s="58"/>
      <c r="AZ77" s="58"/>
    </row>
    <row r="78" spans="1:70" ht="12.75" hidden="1" customHeight="1" x14ac:dyDescent="0.2">
      <c r="B78" s="134" t="s">
        <v>116</v>
      </c>
      <c r="C78" s="135" t="s">
        <v>221</v>
      </c>
      <c r="D78" s="136">
        <v>8163</v>
      </c>
      <c r="E78" s="136">
        <v>8430</v>
      </c>
      <c r="F78" s="136">
        <v>7153</v>
      </c>
      <c r="G78" s="133">
        <f t="shared" si="45"/>
        <v>-3546</v>
      </c>
      <c r="H78" s="133">
        <v>-10000</v>
      </c>
      <c r="I78" s="133">
        <v>-3546</v>
      </c>
      <c r="J78" s="133"/>
      <c r="K78" s="133"/>
      <c r="L78" s="133"/>
      <c r="M78" s="133"/>
      <c r="N78" s="133"/>
      <c r="O78" s="133"/>
      <c r="P78" s="133">
        <f t="shared" si="46"/>
        <v>0</v>
      </c>
      <c r="Q78" s="133"/>
      <c r="R78" s="133"/>
      <c r="S78" s="136"/>
      <c r="T78" s="133"/>
      <c r="U78" s="307"/>
      <c r="V78" s="307"/>
      <c r="W78" s="303"/>
      <c r="X78" s="307"/>
      <c r="Y78" s="307"/>
      <c r="Z78" s="303"/>
      <c r="AA78" s="307"/>
      <c r="AB78" s="322"/>
      <c r="AC78" s="322"/>
      <c r="AD78" s="322"/>
      <c r="AE78" s="307"/>
      <c r="AF78" s="307"/>
      <c r="AG78" s="307"/>
      <c r="AH78" s="307"/>
      <c r="AI78" s="307"/>
      <c r="AJ78" s="307"/>
      <c r="AK78" s="307"/>
      <c r="AL78" s="307"/>
      <c r="AM78" s="307"/>
      <c r="AN78" s="307"/>
      <c r="AO78" s="307"/>
      <c r="AP78" s="86"/>
      <c r="AQ78" s="270"/>
      <c r="AS78" s="58"/>
      <c r="AT78" s="58"/>
      <c r="AU78" s="58"/>
      <c r="AV78" s="58"/>
      <c r="AW78" s="58"/>
      <c r="AX78" s="58"/>
      <c r="AY78" s="58"/>
      <c r="AZ78" s="58"/>
    </row>
    <row r="79" spans="1:70" s="57" customFormat="1" ht="12.75" hidden="1" customHeight="1" x14ac:dyDescent="0.2">
      <c r="A79" s="7"/>
      <c r="B79" s="134" t="s">
        <v>228</v>
      </c>
      <c r="C79" s="135"/>
      <c r="D79" s="136"/>
      <c r="E79" s="136"/>
      <c r="F79" s="136"/>
      <c r="G79" s="133">
        <f t="shared" si="45"/>
        <v>0</v>
      </c>
      <c r="H79" s="133">
        <v>-10000</v>
      </c>
      <c r="I79" s="133">
        <v>0</v>
      </c>
      <c r="J79" s="133"/>
      <c r="K79" s="133"/>
      <c r="L79" s="133"/>
      <c r="M79" s="133"/>
      <c r="N79" s="133"/>
      <c r="O79" s="133"/>
      <c r="P79" s="133">
        <f t="shared" si="46"/>
        <v>0</v>
      </c>
      <c r="Q79" s="133"/>
      <c r="R79" s="133"/>
      <c r="S79" s="136"/>
      <c r="T79" s="133"/>
      <c r="U79" s="307"/>
      <c r="V79" s="307"/>
      <c r="W79" s="303"/>
      <c r="X79" s="307"/>
      <c r="Y79" s="307"/>
      <c r="Z79" s="303"/>
      <c r="AA79" s="307"/>
      <c r="AB79" s="322"/>
      <c r="AC79" s="322"/>
      <c r="AD79" s="322"/>
      <c r="AE79" s="307"/>
      <c r="AF79" s="307"/>
      <c r="AG79" s="307"/>
      <c r="AH79" s="307"/>
      <c r="AI79" s="307"/>
      <c r="AJ79" s="307"/>
      <c r="AK79" s="307"/>
      <c r="AL79" s="307"/>
      <c r="AM79" s="307"/>
      <c r="AN79" s="307"/>
      <c r="AO79" s="307"/>
      <c r="AP79" s="86"/>
      <c r="AQ79" s="270"/>
      <c r="AR79" s="1"/>
      <c r="AS79" s="59"/>
      <c r="AT79" s="59"/>
      <c r="AU79" s="59"/>
      <c r="AV79" s="59"/>
      <c r="AW79" s="59"/>
      <c r="AX79" s="59"/>
      <c r="AY79" s="59"/>
      <c r="AZ79" s="59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</row>
    <row r="80" spans="1:70" s="7" customFormat="1" ht="12.75" customHeight="1" x14ac:dyDescent="0.2">
      <c r="B80" s="262" t="s">
        <v>229</v>
      </c>
      <c r="C80" s="263"/>
      <c r="D80" s="264"/>
      <c r="E80" s="264"/>
      <c r="F80" s="264"/>
      <c r="G80" s="271">
        <f>SUM(G73,G76,G77)</f>
        <v>-165549.26</v>
      </c>
      <c r="H80" s="271">
        <f t="shared" ref="H80:AA80" si="49">SUM(H73,H76,H77)</f>
        <v>0</v>
      </c>
      <c r="I80" s="271">
        <f t="shared" si="49"/>
        <v>0</v>
      </c>
      <c r="J80" s="271">
        <f t="shared" si="49"/>
        <v>0</v>
      </c>
      <c r="K80" s="271">
        <f t="shared" si="49"/>
        <v>0</v>
      </c>
      <c r="L80" s="271">
        <f t="shared" si="49"/>
        <v>-50000</v>
      </c>
      <c r="M80" s="271">
        <f>SUM(M67:M79)</f>
        <v>-92641.86</v>
      </c>
      <c r="N80" s="271">
        <f>SUM(N69:N77)</f>
        <v>-110000</v>
      </c>
      <c r="O80" s="271">
        <f t="shared" ref="O80:P80" si="50">SUM(O69:O77)</f>
        <v>0</v>
      </c>
      <c r="P80" s="271">
        <f t="shared" si="50"/>
        <v>-110000</v>
      </c>
      <c r="Q80" s="271">
        <f>SUM(Q69:Q77)</f>
        <v>-81176.179999999993</v>
      </c>
      <c r="R80" s="272">
        <f t="shared" ref="R80" si="51">Q80/P80</f>
        <v>0.73796527272727264</v>
      </c>
      <c r="S80" s="271"/>
      <c r="T80" s="271"/>
      <c r="U80" s="316">
        <f t="shared" si="49"/>
        <v>0</v>
      </c>
      <c r="V80" s="316"/>
      <c r="W80" s="317"/>
      <c r="X80" s="316">
        <f t="shared" si="49"/>
        <v>0</v>
      </c>
      <c r="Y80" s="316"/>
      <c r="Z80" s="317"/>
      <c r="AA80" s="316">
        <f t="shared" si="49"/>
        <v>0</v>
      </c>
      <c r="AB80" s="318"/>
      <c r="AC80" s="318"/>
      <c r="AD80" s="318">
        <f t="shared" ref="AD80:AO80" si="52">SUM(AD67:AD79)</f>
        <v>0</v>
      </c>
      <c r="AE80" s="316">
        <f t="shared" si="52"/>
        <v>0</v>
      </c>
      <c r="AF80" s="316">
        <f t="shared" si="52"/>
        <v>0</v>
      </c>
      <c r="AG80" s="316">
        <f t="shared" si="52"/>
        <v>0</v>
      </c>
      <c r="AH80" s="316">
        <f t="shared" si="52"/>
        <v>0</v>
      </c>
      <c r="AI80" s="316">
        <f t="shared" si="52"/>
        <v>0</v>
      </c>
      <c r="AJ80" s="316">
        <f t="shared" si="52"/>
        <v>0</v>
      </c>
      <c r="AK80" s="316">
        <f t="shared" si="52"/>
        <v>0</v>
      </c>
      <c r="AL80" s="316">
        <f t="shared" si="52"/>
        <v>0</v>
      </c>
      <c r="AM80" s="316">
        <f t="shared" si="52"/>
        <v>0</v>
      </c>
      <c r="AN80" s="316">
        <f t="shared" si="52"/>
        <v>0</v>
      </c>
      <c r="AO80" s="316">
        <f t="shared" si="52"/>
        <v>0</v>
      </c>
      <c r="AP80" s="115"/>
      <c r="AQ80" s="274">
        <f>SUM(AQ69:AQ77)</f>
        <v>-131000</v>
      </c>
      <c r="AR80" s="1"/>
      <c r="AS80" s="58"/>
      <c r="AT80" s="58"/>
      <c r="AU80" s="58"/>
      <c r="AV80" s="58"/>
      <c r="AW80" s="58"/>
      <c r="AX80" s="58"/>
      <c r="AY80" s="58"/>
      <c r="AZ80" s="58"/>
    </row>
    <row r="81" spans="1:70" s="7" customFormat="1" ht="12.75" customHeight="1" x14ac:dyDescent="0.2">
      <c r="B81" s="145"/>
      <c r="C81" s="149"/>
      <c r="D81" s="254"/>
      <c r="E81" s="254"/>
      <c r="F81" s="254"/>
      <c r="G81" s="275"/>
      <c r="H81" s="275"/>
      <c r="I81" s="275"/>
      <c r="J81" s="275"/>
      <c r="K81" s="275"/>
      <c r="L81" s="275"/>
      <c r="M81" s="275"/>
      <c r="N81" s="275"/>
      <c r="O81" s="275"/>
      <c r="P81" s="275"/>
      <c r="Q81" s="275"/>
      <c r="R81" s="275"/>
      <c r="S81" s="254"/>
      <c r="T81" s="275"/>
      <c r="U81" s="319"/>
      <c r="V81" s="319"/>
      <c r="W81" s="320"/>
      <c r="X81" s="319"/>
      <c r="Y81" s="319"/>
      <c r="Z81" s="320"/>
      <c r="AA81" s="319"/>
      <c r="AB81" s="321"/>
      <c r="AC81" s="321"/>
      <c r="AD81" s="321"/>
      <c r="AE81" s="319"/>
      <c r="AF81" s="319"/>
      <c r="AG81" s="319"/>
      <c r="AH81" s="319"/>
      <c r="AI81" s="319"/>
      <c r="AJ81" s="319"/>
      <c r="AK81" s="319"/>
      <c r="AL81" s="319"/>
      <c r="AM81" s="319"/>
      <c r="AN81" s="319"/>
      <c r="AO81" s="319"/>
      <c r="AP81" s="86"/>
      <c r="AQ81" s="274"/>
      <c r="AR81" s="1"/>
      <c r="AS81"/>
      <c r="AT81"/>
      <c r="AU81"/>
      <c r="AV81"/>
      <c r="AW81"/>
      <c r="AX81"/>
      <c r="AY81"/>
      <c r="AZ81"/>
    </row>
    <row r="82" spans="1:70" s="57" customFormat="1" ht="39" customHeight="1" x14ac:dyDescent="0.2">
      <c r="A82" s="7"/>
      <c r="B82" s="243"/>
      <c r="C82" s="244" t="s">
        <v>2</v>
      </c>
      <c r="D82" s="251" t="s">
        <v>136</v>
      </c>
      <c r="E82" s="247" t="s">
        <v>137</v>
      </c>
      <c r="F82" s="247" t="s">
        <v>138</v>
      </c>
      <c r="G82" s="246" t="s">
        <v>139</v>
      </c>
      <c r="H82" s="247" t="s">
        <v>140</v>
      </c>
      <c r="I82" s="247" t="s">
        <v>141</v>
      </c>
      <c r="J82" s="247" t="s">
        <v>142</v>
      </c>
      <c r="K82" s="247" t="s">
        <v>143</v>
      </c>
      <c r="L82" s="247" t="s">
        <v>144</v>
      </c>
      <c r="M82" s="246" t="s">
        <v>145</v>
      </c>
      <c r="N82" s="246" t="s">
        <v>146</v>
      </c>
      <c r="O82" s="246" t="s">
        <v>147</v>
      </c>
      <c r="P82" s="246" t="s">
        <v>148</v>
      </c>
      <c r="Q82" s="246" t="s">
        <v>149</v>
      </c>
      <c r="R82" s="246" t="s">
        <v>150</v>
      </c>
      <c r="S82" s="246" t="s">
        <v>151</v>
      </c>
      <c r="T82" s="246" t="s">
        <v>152</v>
      </c>
      <c r="U82" s="246" t="s">
        <v>153</v>
      </c>
      <c r="V82" s="246" t="s">
        <v>151</v>
      </c>
      <c r="W82" s="248" t="s">
        <v>152</v>
      </c>
      <c r="X82" s="246" t="s">
        <v>154</v>
      </c>
      <c r="Y82" s="246" t="s">
        <v>151</v>
      </c>
      <c r="Z82" s="248" t="s">
        <v>152</v>
      </c>
      <c r="AA82" s="247">
        <v>2025</v>
      </c>
      <c r="AB82" s="246" t="s">
        <v>151</v>
      </c>
      <c r="AC82" s="246" t="s">
        <v>152</v>
      </c>
      <c r="AD82" s="249">
        <v>2026</v>
      </c>
      <c r="AE82" s="249">
        <v>2027</v>
      </c>
      <c r="AF82" s="249">
        <v>2028</v>
      </c>
      <c r="AG82" s="249">
        <v>2029</v>
      </c>
      <c r="AH82" s="249">
        <v>2030</v>
      </c>
      <c r="AI82" s="249">
        <v>2031</v>
      </c>
      <c r="AJ82" s="250">
        <v>2022</v>
      </c>
      <c r="AK82" s="250">
        <v>2023</v>
      </c>
      <c r="AL82" s="250">
        <v>2024</v>
      </c>
      <c r="AM82" s="250">
        <v>2025</v>
      </c>
      <c r="AN82" s="250">
        <v>2026</v>
      </c>
      <c r="AO82" s="250"/>
      <c r="AP82" s="114"/>
      <c r="AQ82" s="246" t="s">
        <v>155</v>
      </c>
      <c r="AR82" s="1"/>
      <c r="AS82" s="58"/>
      <c r="AT82" s="58"/>
      <c r="AU82" s="58"/>
      <c r="AV82" s="58"/>
      <c r="AW82" s="58"/>
      <c r="AX82" s="58"/>
      <c r="AY82" s="58"/>
      <c r="AZ82" s="58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</row>
    <row r="83" spans="1:70" ht="12.75" customHeight="1" x14ac:dyDescent="0.2">
      <c r="B83" s="263" t="s">
        <v>201</v>
      </c>
      <c r="C83" s="263"/>
      <c r="D83" s="264"/>
      <c r="E83" s="264"/>
      <c r="F83" s="264"/>
      <c r="G83" s="264"/>
      <c r="H83" s="264"/>
      <c r="I83" s="264"/>
      <c r="J83" s="264"/>
      <c r="K83" s="264"/>
      <c r="L83" s="264"/>
      <c r="M83" s="264"/>
      <c r="N83" s="264"/>
      <c r="O83" s="264"/>
      <c r="P83" s="264"/>
      <c r="Q83" s="264"/>
      <c r="R83" s="264"/>
      <c r="S83" s="264"/>
      <c r="T83" s="264"/>
      <c r="U83" s="326"/>
      <c r="V83" s="326"/>
      <c r="W83" s="317"/>
      <c r="X83" s="326"/>
      <c r="Y83" s="326"/>
      <c r="Z83" s="317"/>
      <c r="AA83" s="326"/>
      <c r="AB83" s="327"/>
      <c r="AC83" s="327"/>
      <c r="AD83" s="327"/>
      <c r="AE83" s="326"/>
      <c r="AF83" s="326"/>
      <c r="AG83" s="326"/>
      <c r="AH83" s="326"/>
      <c r="AI83" s="326"/>
      <c r="AJ83" s="326"/>
      <c r="AK83" s="326"/>
      <c r="AL83" s="326"/>
      <c r="AM83" s="326"/>
      <c r="AN83" s="326"/>
      <c r="AO83" s="326"/>
      <c r="AP83" s="86"/>
      <c r="AQ83" s="258"/>
      <c r="AS83" s="58"/>
      <c r="AT83" s="58"/>
      <c r="AU83" s="58"/>
      <c r="AV83" s="58"/>
      <c r="AW83" s="58"/>
      <c r="AX83" s="58"/>
      <c r="AY83" s="58"/>
      <c r="AZ83" s="58"/>
    </row>
    <row r="84" spans="1:70" ht="12.75" customHeight="1" x14ac:dyDescent="0.2">
      <c r="B84" s="134" t="s">
        <v>230</v>
      </c>
      <c r="C84" s="135"/>
      <c r="D84" s="136">
        <v>8164</v>
      </c>
      <c r="E84" s="136">
        <v>8450</v>
      </c>
      <c r="F84" s="136">
        <v>7520</v>
      </c>
      <c r="G84" s="133">
        <f>SUM(I84,K84,M84,N84,U84:AA84)</f>
        <v>-110000</v>
      </c>
      <c r="H84" s="132"/>
      <c r="I84" s="132"/>
      <c r="J84" s="132"/>
      <c r="K84" s="132"/>
      <c r="L84" s="132"/>
      <c r="M84" s="133"/>
      <c r="N84" s="133">
        <v>-10000</v>
      </c>
      <c r="O84" s="133">
        <v>0</v>
      </c>
      <c r="P84" s="133">
        <f t="shared" ref="P84:P107" si="53">N84+O84</f>
        <v>-10000</v>
      </c>
      <c r="Q84" s="133">
        <v>0</v>
      </c>
      <c r="R84" s="137">
        <f t="shared" ref="R84:R106" si="54">Q84/P84</f>
        <v>0</v>
      </c>
      <c r="S84" s="143" t="s">
        <v>231</v>
      </c>
      <c r="T84" s="141" t="s">
        <v>173</v>
      </c>
      <c r="U84" s="139">
        <v>-100000</v>
      </c>
      <c r="V84" s="139"/>
      <c r="W84" s="303" t="s">
        <v>174</v>
      </c>
      <c r="X84" s="139"/>
      <c r="Y84" s="139"/>
      <c r="Z84" s="304"/>
      <c r="AA84" s="139"/>
      <c r="AB84" s="308"/>
      <c r="AC84" s="308"/>
      <c r="AD84" s="308"/>
      <c r="AE84" s="139"/>
      <c r="AF84" s="139"/>
      <c r="AG84" s="139"/>
      <c r="AH84" s="139"/>
      <c r="AI84" s="139"/>
      <c r="AJ84" s="139"/>
      <c r="AK84" s="307"/>
      <c r="AL84" s="307"/>
      <c r="AM84" s="307"/>
      <c r="AN84" s="307"/>
      <c r="AO84" s="307"/>
      <c r="AP84" s="86"/>
      <c r="AQ84" s="270">
        <v>-10000</v>
      </c>
      <c r="AS84" s="58"/>
      <c r="AT84" s="58"/>
      <c r="AU84" s="58"/>
      <c r="AV84" s="58"/>
      <c r="AW84" s="58"/>
      <c r="AX84" s="58"/>
      <c r="AY84" s="58"/>
      <c r="AZ84" s="58"/>
    </row>
    <row r="85" spans="1:70" ht="12.75" customHeight="1" x14ac:dyDescent="0.2">
      <c r="B85" s="134" t="s">
        <v>92</v>
      </c>
      <c r="C85" s="135"/>
      <c r="D85" s="136">
        <v>8111</v>
      </c>
      <c r="E85" s="136">
        <v>8440</v>
      </c>
      <c r="F85" s="136">
        <v>7520</v>
      </c>
      <c r="G85" s="133">
        <f t="shared" ref="G85:G105" si="55">SUM(I85,K85,M85,N85,U85:AA85)</f>
        <v>-101589.52</v>
      </c>
      <c r="H85" s="132">
        <v>-20000</v>
      </c>
      <c r="I85" s="132">
        <v>-22466</v>
      </c>
      <c r="J85" s="132">
        <v>-20000</v>
      </c>
      <c r="K85" s="132">
        <v>-20311</v>
      </c>
      <c r="L85" s="132">
        <v>-20000</v>
      </c>
      <c r="M85" s="133">
        <v>-18812.52</v>
      </c>
      <c r="N85" s="133">
        <v>-20000</v>
      </c>
      <c r="O85" s="133">
        <v>0</v>
      </c>
      <c r="P85" s="133">
        <f t="shared" si="53"/>
        <v>-20000</v>
      </c>
      <c r="Q85" s="133">
        <v>-22063.4</v>
      </c>
      <c r="R85" s="137">
        <f t="shared" si="54"/>
        <v>1.10317</v>
      </c>
      <c r="S85" s="136"/>
      <c r="T85" s="141" t="s">
        <v>173</v>
      </c>
      <c r="U85" s="139">
        <v>-20000</v>
      </c>
      <c r="V85" s="139"/>
      <c r="W85" s="303" t="s">
        <v>174</v>
      </c>
      <c r="X85" s="139"/>
      <c r="Y85" s="139"/>
      <c r="Z85" s="304"/>
      <c r="AA85" s="139"/>
      <c r="AB85" s="308"/>
      <c r="AC85" s="308"/>
      <c r="AD85" s="308"/>
      <c r="AE85" s="139"/>
      <c r="AF85" s="139"/>
      <c r="AG85" s="139"/>
      <c r="AH85" s="139"/>
      <c r="AI85" s="139"/>
      <c r="AJ85" s="139"/>
      <c r="AK85" s="307"/>
      <c r="AL85" s="307"/>
      <c r="AM85" s="307"/>
      <c r="AN85" s="307"/>
      <c r="AO85" s="307"/>
      <c r="AP85" s="86"/>
      <c r="AQ85" s="270">
        <v>-20000</v>
      </c>
      <c r="AS85" s="58"/>
      <c r="AT85" s="58"/>
      <c r="AU85" s="58"/>
      <c r="AV85" s="58"/>
      <c r="AW85" s="58"/>
      <c r="AX85" s="58"/>
      <c r="AY85" s="58"/>
      <c r="AZ85" s="58"/>
    </row>
    <row r="86" spans="1:70" ht="12.75" customHeight="1" x14ac:dyDescent="0.2">
      <c r="B86" s="134" t="s">
        <v>205</v>
      </c>
      <c r="C86" s="135"/>
      <c r="D86" s="136">
        <v>8129</v>
      </c>
      <c r="E86" s="136">
        <v>8440</v>
      </c>
      <c r="F86" s="136" t="s">
        <v>232</v>
      </c>
      <c r="G86" s="133">
        <f t="shared" si="55"/>
        <v>-30000</v>
      </c>
      <c r="H86" s="132"/>
      <c r="I86" s="132"/>
      <c r="J86" s="132"/>
      <c r="K86" s="132"/>
      <c r="L86" s="133">
        <v>0</v>
      </c>
      <c r="M86" s="133">
        <v>0</v>
      </c>
      <c r="N86" s="133">
        <v>-30000</v>
      </c>
      <c r="O86" s="133">
        <v>0</v>
      </c>
      <c r="P86" s="133">
        <f t="shared" si="53"/>
        <v>-30000</v>
      </c>
      <c r="Q86" s="133">
        <v>0</v>
      </c>
      <c r="R86" s="137">
        <f t="shared" si="54"/>
        <v>0</v>
      </c>
      <c r="S86" s="143" t="s">
        <v>177</v>
      </c>
      <c r="T86" s="141" t="s">
        <v>173</v>
      </c>
      <c r="U86" s="139"/>
      <c r="V86" s="139"/>
      <c r="W86" s="304"/>
      <c r="X86" s="139"/>
      <c r="Y86" s="139"/>
      <c r="Z86" s="304"/>
      <c r="AA86" s="139"/>
      <c r="AB86" s="308"/>
      <c r="AC86" s="308"/>
      <c r="AD86" s="308"/>
      <c r="AE86" s="139"/>
      <c r="AF86" s="139"/>
      <c r="AG86" s="139"/>
      <c r="AH86" s="139"/>
      <c r="AI86" s="139"/>
      <c r="AJ86" s="139"/>
      <c r="AK86" s="307"/>
      <c r="AL86" s="307"/>
      <c r="AM86" s="307"/>
      <c r="AN86" s="307"/>
      <c r="AO86" s="307"/>
      <c r="AP86" s="86"/>
      <c r="AQ86" s="270">
        <v>-30000</v>
      </c>
      <c r="AS86" s="58"/>
      <c r="AT86" s="58"/>
      <c r="AU86" s="58"/>
      <c r="AV86" s="58"/>
      <c r="AW86" s="58"/>
      <c r="AX86" s="58"/>
      <c r="AY86" s="58"/>
      <c r="AZ86" s="58"/>
    </row>
    <row r="87" spans="1:70" ht="12.75" hidden="1" customHeight="1" x14ac:dyDescent="0.2">
      <c r="B87" s="134" t="s">
        <v>70</v>
      </c>
      <c r="C87" s="135"/>
      <c r="D87" s="136">
        <v>8165</v>
      </c>
      <c r="E87" s="136">
        <v>8440</v>
      </c>
      <c r="F87" s="136" t="s">
        <v>232</v>
      </c>
      <c r="G87" s="133">
        <f t="shared" si="55"/>
        <v>-110000</v>
      </c>
      <c r="H87" s="132"/>
      <c r="I87" s="132"/>
      <c r="J87" s="132">
        <v>0</v>
      </c>
      <c r="K87" s="132">
        <v>0</v>
      </c>
      <c r="L87" s="132"/>
      <c r="M87" s="133"/>
      <c r="N87" s="133"/>
      <c r="O87" s="133">
        <v>0</v>
      </c>
      <c r="P87" s="133">
        <f t="shared" si="53"/>
        <v>0</v>
      </c>
      <c r="Q87" s="133"/>
      <c r="R87" s="137" t="e">
        <f t="shared" si="54"/>
        <v>#DIV/0!</v>
      </c>
      <c r="S87" s="136"/>
      <c r="T87" s="141"/>
      <c r="U87" s="139"/>
      <c r="V87" s="139"/>
      <c r="W87" s="304"/>
      <c r="X87" s="139">
        <v>-10000</v>
      </c>
      <c r="Y87" s="139"/>
      <c r="Z87" s="304"/>
      <c r="AA87" s="139">
        <v>-100000</v>
      </c>
      <c r="AB87" s="308"/>
      <c r="AC87" s="308"/>
      <c r="AD87" s="308"/>
      <c r="AE87" s="139"/>
      <c r="AF87" s="139"/>
      <c r="AG87" s="139"/>
      <c r="AH87" s="139"/>
      <c r="AI87" s="139"/>
      <c r="AJ87" s="139"/>
      <c r="AK87" s="307"/>
      <c r="AL87" s="307"/>
      <c r="AM87" s="307"/>
      <c r="AN87" s="307"/>
      <c r="AO87" s="307"/>
      <c r="AP87" s="86"/>
      <c r="AQ87" s="270"/>
      <c r="AS87" s="58"/>
      <c r="AT87" s="58"/>
      <c r="AU87" s="58"/>
      <c r="AV87" s="58"/>
      <c r="AW87" s="58"/>
      <c r="AX87" s="58"/>
      <c r="AY87" s="58"/>
      <c r="AZ87" s="58"/>
    </row>
    <row r="88" spans="1:70" ht="12.75" customHeight="1" x14ac:dyDescent="0.2">
      <c r="B88" s="134" t="s">
        <v>233</v>
      </c>
      <c r="C88" s="135"/>
      <c r="D88" s="136">
        <v>8166</v>
      </c>
      <c r="E88" s="136">
        <v>8440</v>
      </c>
      <c r="F88" s="136" t="s">
        <v>232</v>
      </c>
      <c r="G88" s="133">
        <f t="shared" si="55"/>
        <v>-200000</v>
      </c>
      <c r="H88" s="132">
        <v>-100000</v>
      </c>
      <c r="I88" s="132">
        <v>0</v>
      </c>
      <c r="J88" s="132">
        <v>-20000</v>
      </c>
      <c r="K88" s="132">
        <v>0</v>
      </c>
      <c r="L88" s="133"/>
      <c r="M88" s="133"/>
      <c r="N88" s="133">
        <v>-200000</v>
      </c>
      <c r="O88" s="289">
        <v>200000</v>
      </c>
      <c r="P88" s="289">
        <f t="shared" si="53"/>
        <v>0</v>
      </c>
      <c r="Q88" s="133">
        <v>0</v>
      </c>
      <c r="R88" s="137">
        <v>0</v>
      </c>
      <c r="S88" s="310">
        <v>44241</v>
      </c>
      <c r="T88" s="142" t="s">
        <v>173</v>
      </c>
      <c r="U88" s="139"/>
      <c r="V88" s="139"/>
      <c r="W88" s="304"/>
      <c r="X88" s="139"/>
      <c r="Y88" s="139"/>
      <c r="Z88" s="304"/>
      <c r="AA88" s="139"/>
      <c r="AB88" s="308"/>
      <c r="AC88" s="308"/>
      <c r="AD88" s="308"/>
      <c r="AE88" s="139"/>
      <c r="AF88" s="139"/>
      <c r="AG88" s="139"/>
      <c r="AH88" s="139"/>
      <c r="AI88" s="139"/>
      <c r="AJ88" s="139"/>
      <c r="AK88" s="307"/>
      <c r="AL88" s="307"/>
      <c r="AM88" s="307"/>
      <c r="AN88" s="307"/>
      <c r="AO88" s="307"/>
      <c r="AP88" s="86"/>
      <c r="AQ88" s="270">
        <v>0</v>
      </c>
      <c r="AS88" s="58"/>
      <c r="AT88" s="58"/>
      <c r="AU88" s="58"/>
      <c r="AV88" s="58"/>
      <c r="AW88" s="58"/>
      <c r="AX88" s="58"/>
      <c r="AY88" s="58"/>
      <c r="AZ88" s="58"/>
    </row>
    <row r="89" spans="1:70" ht="12.75" hidden="1" customHeight="1" x14ac:dyDescent="0.2">
      <c r="B89" s="134" t="s">
        <v>234</v>
      </c>
      <c r="C89" s="135"/>
      <c r="D89" s="136">
        <v>8144</v>
      </c>
      <c r="E89" s="136">
        <v>8440</v>
      </c>
      <c r="F89" s="136" t="s">
        <v>232</v>
      </c>
      <c r="G89" s="133">
        <f t="shared" si="55"/>
        <v>-18920</v>
      </c>
      <c r="H89" s="132"/>
      <c r="I89" s="132"/>
      <c r="J89" s="132"/>
      <c r="K89" s="132"/>
      <c r="L89" s="133">
        <v>-18920</v>
      </c>
      <c r="M89" s="133">
        <v>-18920</v>
      </c>
      <c r="N89" s="133"/>
      <c r="O89" s="133">
        <v>0</v>
      </c>
      <c r="P89" s="133">
        <f t="shared" si="53"/>
        <v>0</v>
      </c>
      <c r="Q89" s="133"/>
      <c r="R89" s="137" t="e">
        <f t="shared" si="54"/>
        <v>#DIV/0!</v>
      </c>
      <c r="S89" s="290"/>
      <c r="T89" s="291"/>
      <c r="U89" s="139"/>
      <c r="V89" s="139"/>
      <c r="W89" s="304"/>
      <c r="X89" s="139"/>
      <c r="Y89" s="139"/>
      <c r="Z89" s="304"/>
      <c r="AA89" s="139"/>
      <c r="AB89" s="328"/>
      <c r="AC89" s="328"/>
      <c r="AD89" s="328"/>
      <c r="AE89" s="328"/>
      <c r="AF89" s="328"/>
      <c r="AG89" s="328"/>
      <c r="AH89" s="328"/>
      <c r="AI89" s="328"/>
      <c r="AJ89" s="328"/>
      <c r="AK89" s="322"/>
      <c r="AL89" s="322"/>
      <c r="AM89" s="322"/>
      <c r="AN89" s="322"/>
      <c r="AO89" s="322"/>
      <c r="AP89" s="86"/>
      <c r="AQ89" s="270"/>
      <c r="AS89" s="58"/>
      <c r="AT89" s="58"/>
      <c r="AU89" s="58"/>
      <c r="AV89" s="58"/>
      <c r="AW89" s="58"/>
      <c r="AX89" s="58"/>
      <c r="AY89" s="58"/>
      <c r="AZ89" s="58"/>
    </row>
    <row r="90" spans="1:70" ht="12.75" hidden="1" customHeight="1" x14ac:dyDescent="0.2">
      <c r="B90" s="134" t="s">
        <v>235</v>
      </c>
      <c r="C90" s="135"/>
      <c r="D90" s="136">
        <v>8130</v>
      </c>
      <c r="E90" s="136">
        <v>8440</v>
      </c>
      <c r="F90" s="136" t="s">
        <v>232</v>
      </c>
      <c r="G90" s="133">
        <f t="shared" si="55"/>
        <v>-43936.5</v>
      </c>
      <c r="H90" s="132">
        <v>-60000</v>
      </c>
      <c r="I90" s="132">
        <v>0</v>
      </c>
      <c r="J90" s="132"/>
      <c r="K90" s="132"/>
      <c r="L90" s="133">
        <v>-40000</v>
      </c>
      <c r="M90" s="133">
        <v>-43936.5</v>
      </c>
      <c r="N90" s="133"/>
      <c r="O90" s="133">
        <v>0</v>
      </c>
      <c r="P90" s="133">
        <f t="shared" si="53"/>
        <v>0</v>
      </c>
      <c r="Q90" s="133"/>
      <c r="R90" s="137" t="e">
        <f t="shared" si="54"/>
        <v>#DIV/0!</v>
      </c>
      <c r="S90" s="290"/>
      <c r="T90" s="291"/>
      <c r="U90" s="139"/>
      <c r="V90" s="139"/>
      <c r="W90" s="304"/>
      <c r="X90" s="139"/>
      <c r="Y90" s="139"/>
      <c r="Z90" s="304"/>
      <c r="AA90" s="139"/>
      <c r="AB90" s="328"/>
      <c r="AC90" s="328"/>
      <c r="AD90" s="328"/>
      <c r="AE90" s="328"/>
      <c r="AF90" s="328"/>
      <c r="AG90" s="328"/>
      <c r="AH90" s="328"/>
      <c r="AI90" s="328"/>
      <c r="AJ90" s="328"/>
      <c r="AK90" s="322"/>
      <c r="AL90" s="322"/>
      <c r="AM90" s="322"/>
      <c r="AN90" s="322"/>
      <c r="AO90" s="322"/>
      <c r="AP90" s="86"/>
      <c r="AQ90" s="270"/>
      <c r="AS90" s="58"/>
      <c r="AT90" s="58"/>
      <c r="AU90" s="58"/>
      <c r="AV90" s="58"/>
      <c r="AW90" s="58"/>
      <c r="AX90" s="58"/>
      <c r="AY90" s="58"/>
      <c r="AZ90" s="58"/>
    </row>
    <row r="91" spans="1:70" ht="12.75" hidden="1" customHeight="1" x14ac:dyDescent="0.2">
      <c r="B91" s="329" t="s">
        <v>236</v>
      </c>
      <c r="C91" s="135"/>
      <c r="D91" s="136">
        <v>8167</v>
      </c>
      <c r="E91" s="136">
        <v>8440</v>
      </c>
      <c r="F91" s="136" t="s">
        <v>232</v>
      </c>
      <c r="G91" s="133">
        <f t="shared" si="55"/>
        <v>0</v>
      </c>
      <c r="H91" s="132"/>
      <c r="I91" s="132"/>
      <c r="J91" s="132">
        <v>0</v>
      </c>
      <c r="K91" s="132">
        <v>0</v>
      </c>
      <c r="L91" s="133"/>
      <c r="M91" s="133"/>
      <c r="N91" s="133"/>
      <c r="O91" s="133">
        <v>0</v>
      </c>
      <c r="P91" s="133">
        <f t="shared" si="53"/>
        <v>0</v>
      </c>
      <c r="Q91" s="133"/>
      <c r="R91" s="137" t="e">
        <f t="shared" si="54"/>
        <v>#DIV/0!</v>
      </c>
      <c r="S91" s="136"/>
      <c r="T91" s="141"/>
      <c r="U91" s="139"/>
      <c r="V91" s="139"/>
      <c r="W91" s="304"/>
      <c r="X91" s="139"/>
      <c r="Y91" s="139"/>
      <c r="Z91" s="304"/>
      <c r="AA91" s="139"/>
      <c r="AB91" s="308"/>
      <c r="AC91" s="308"/>
      <c r="AD91" s="308"/>
      <c r="AE91" s="139"/>
      <c r="AF91" s="139"/>
      <c r="AG91" s="139"/>
      <c r="AH91" s="139"/>
      <c r="AI91" s="139"/>
      <c r="AJ91" s="139"/>
      <c r="AK91" s="307"/>
      <c r="AL91" s="307"/>
      <c r="AM91" s="307"/>
      <c r="AN91" s="307"/>
      <c r="AO91" s="307"/>
      <c r="AP91" s="86"/>
      <c r="AQ91" s="270"/>
      <c r="AS91" s="58"/>
      <c r="AT91" s="58"/>
      <c r="AU91" s="58"/>
      <c r="AV91" s="58"/>
      <c r="AW91" s="58"/>
      <c r="AX91" s="58"/>
      <c r="AY91" s="58"/>
      <c r="AZ91" s="58"/>
    </row>
    <row r="92" spans="1:70" ht="12.75" customHeight="1" x14ac:dyDescent="0.2">
      <c r="B92" s="134" t="s">
        <v>237</v>
      </c>
      <c r="C92" s="135"/>
      <c r="D92" s="136">
        <v>8168</v>
      </c>
      <c r="E92" s="136">
        <v>8440</v>
      </c>
      <c r="F92" s="136" t="s">
        <v>232</v>
      </c>
      <c r="G92" s="133">
        <f t="shared" si="55"/>
        <v>-110000</v>
      </c>
      <c r="H92" s="132"/>
      <c r="I92" s="132"/>
      <c r="J92" s="132"/>
      <c r="K92" s="132"/>
      <c r="L92" s="133"/>
      <c r="M92" s="133"/>
      <c r="N92" s="133">
        <v>-10000</v>
      </c>
      <c r="O92" s="133">
        <v>0</v>
      </c>
      <c r="P92" s="133">
        <f t="shared" si="53"/>
        <v>-10000</v>
      </c>
      <c r="Q92" s="133">
        <v>0</v>
      </c>
      <c r="R92" s="137">
        <f t="shared" si="54"/>
        <v>0</v>
      </c>
      <c r="S92" s="136"/>
      <c r="T92" s="141" t="s">
        <v>173</v>
      </c>
      <c r="U92" s="139">
        <v>-100000</v>
      </c>
      <c r="V92" s="139"/>
      <c r="W92" s="303" t="s">
        <v>174</v>
      </c>
      <c r="X92" s="139"/>
      <c r="Y92" s="139"/>
      <c r="Z92" s="304"/>
      <c r="AA92" s="139"/>
      <c r="AB92" s="308"/>
      <c r="AC92" s="308"/>
      <c r="AD92" s="308"/>
      <c r="AE92" s="139"/>
      <c r="AF92" s="139"/>
      <c r="AG92" s="139"/>
      <c r="AH92" s="139"/>
      <c r="AI92" s="139"/>
      <c r="AJ92" s="139"/>
      <c r="AK92" s="307"/>
      <c r="AL92" s="307"/>
      <c r="AM92" s="307"/>
      <c r="AN92" s="307"/>
      <c r="AO92" s="307"/>
      <c r="AP92" s="86"/>
      <c r="AQ92" s="270">
        <v>-10000</v>
      </c>
      <c r="AS92" s="58"/>
      <c r="AT92" s="58"/>
      <c r="AU92" s="58"/>
      <c r="AV92" s="58"/>
      <c r="AW92" s="58"/>
      <c r="AX92" s="58"/>
      <c r="AY92" s="58"/>
      <c r="AZ92" s="58"/>
    </row>
    <row r="93" spans="1:70" ht="12.75" hidden="1" customHeight="1" x14ac:dyDescent="0.2">
      <c r="B93" s="134" t="s">
        <v>238</v>
      </c>
      <c r="C93" s="135"/>
      <c r="D93" s="136">
        <v>8131</v>
      </c>
      <c r="E93" s="136">
        <v>8440</v>
      </c>
      <c r="F93" s="136" t="s">
        <v>232</v>
      </c>
      <c r="G93" s="133">
        <f t="shared" si="55"/>
        <v>-160000</v>
      </c>
      <c r="H93" s="132">
        <v>-5000</v>
      </c>
      <c r="I93" s="132">
        <v>0</v>
      </c>
      <c r="J93" s="132">
        <v>-10000</v>
      </c>
      <c r="K93" s="132">
        <v>0</v>
      </c>
      <c r="L93" s="133">
        <v>0</v>
      </c>
      <c r="M93" s="133">
        <v>0</v>
      </c>
      <c r="N93" s="133"/>
      <c r="O93" s="133">
        <v>0</v>
      </c>
      <c r="P93" s="133">
        <f t="shared" si="53"/>
        <v>0</v>
      </c>
      <c r="Q93" s="133"/>
      <c r="R93" s="137" t="e">
        <f t="shared" si="54"/>
        <v>#DIV/0!</v>
      </c>
      <c r="S93" s="136"/>
      <c r="T93" s="141"/>
      <c r="U93" s="139">
        <v>-160000</v>
      </c>
      <c r="V93" s="139"/>
      <c r="W93" s="304"/>
      <c r="X93" s="139"/>
      <c r="Y93" s="139"/>
      <c r="Z93" s="304"/>
      <c r="AA93" s="139"/>
      <c r="AB93" s="308"/>
      <c r="AC93" s="308"/>
      <c r="AD93" s="308"/>
      <c r="AE93" s="139"/>
      <c r="AF93" s="139"/>
      <c r="AG93" s="139"/>
      <c r="AH93" s="139"/>
      <c r="AI93" s="139"/>
      <c r="AJ93" s="139"/>
      <c r="AK93" s="307"/>
      <c r="AL93" s="307"/>
      <c r="AM93" s="307"/>
      <c r="AN93" s="307"/>
      <c r="AO93" s="307"/>
      <c r="AP93" s="86"/>
      <c r="AQ93" s="270"/>
      <c r="AS93" s="58"/>
      <c r="AT93" s="58"/>
      <c r="AU93" s="58"/>
      <c r="AV93" s="58"/>
      <c r="AW93" s="58"/>
      <c r="AX93" s="58"/>
      <c r="AY93" s="58"/>
      <c r="AZ93" s="58"/>
    </row>
    <row r="94" spans="1:70" ht="12.75" customHeight="1" x14ac:dyDescent="0.2">
      <c r="B94" s="134" t="s">
        <v>210</v>
      </c>
      <c r="C94" s="135"/>
      <c r="D94" s="136">
        <v>8132</v>
      </c>
      <c r="E94" s="136">
        <v>8440</v>
      </c>
      <c r="F94" s="136" t="s">
        <v>232</v>
      </c>
      <c r="G94" s="133">
        <f t="shared" si="55"/>
        <v>-400000</v>
      </c>
      <c r="H94" s="132"/>
      <c r="I94" s="132"/>
      <c r="J94" s="132"/>
      <c r="K94" s="132"/>
      <c r="L94" s="133">
        <v>-5000</v>
      </c>
      <c r="M94" s="133">
        <v>0</v>
      </c>
      <c r="N94" s="133">
        <v>-400000</v>
      </c>
      <c r="O94" s="133">
        <v>0</v>
      </c>
      <c r="P94" s="133">
        <f t="shared" si="53"/>
        <v>-400000</v>
      </c>
      <c r="Q94" s="133">
        <v>0</v>
      </c>
      <c r="R94" s="137">
        <f t="shared" si="54"/>
        <v>0</v>
      </c>
      <c r="S94" s="143" t="s">
        <v>177</v>
      </c>
      <c r="T94" s="141" t="s">
        <v>173</v>
      </c>
      <c r="U94" s="139"/>
      <c r="V94" s="139"/>
      <c r="W94" s="304"/>
      <c r="X94" s="139"/>
      <c r="Y94" s="139"/>
      <c r="Z94" s="304"/>
      <c r="AA94" s="139"/>
      <c r="AB94" s="308"/>
      <c r="AC94" s="308"/>
      <c r="AD94" s="308"/>
      <c r="AE94" s="139"/>
      <c r="AF94" s="139"/>
      <c r="AG94" s="139"/>
      <c r="AH94" s="139"/>
      <c r="AI94" s="139"/>
      <c r="AJ94" s="139"/>
      <c r="AK94" s="307"/>
      <c r="AL94" s="307"/>
      <c r="AM94" s="307"/>
      <c r="AN94" s="307"/>
      <c r="AO94" s="307"/>
      <c r="AP94" s="86"/>
      <c r="AQ94" s="270">
        <v>-200000</v>
      </c>
      <c r="AS94" s="58"/>
      <c r="AT94" s="58"/>
      <c r="AU94" s="58"/>
      <c r="AV94" s="58"/>
      <c r="AW94" s="58"/>
      <c r="AX94" s="58"/>
      <c r="AY94" s="58"/>
      <c r="AZ94" s="58"/>
    </row>
    <row r="95" spans="1:70" ht="12.75" customHeight="1" x14ac:dyDescent="0.2">
      <c r="B95" s="134" t="s">
        <v>239</v>
      </c>
      <c r="C95" s="135"/>
      <c r="D95" s="136">
        <v>8169</v>
      </c>
      <c r="E95" s="136">
        <v>8440</v>
      </c>
      <c r="F95" s="136">
        <v>7520</v>
      </c>
      <c r="G95" s="133">
        <f t="shared" si="55"/>
        <v>-400000</v>
      </c>
      <c r="H95" s="132"/>
      <c r="I95" s="132"/>
      <c r="J95" s="132"/>
      <c r="K95" s="132"/>
      <c r="L95" s="133"/>
      <c r="M95" s="133"/>
      <c r="N95" s="133">
        <v>-100000</v>
      </c>
      <c r="O95" s="133">
        <v>0</v>
      </c>
      <c r="P95" s="133">
        <f t="shared" si="53"/>
        <v>-100000</v>
      </c>
      <c r="Q95" s="133">
        <v>-44945.34</v>
      </c>
      <c r="R95" s="137">
        <f t="shared" si="54"/>
        <v>0.44945339999999995</v>
      </c>
      <c r="S95" s="143" t="s">
        <v>216</v>
      </c>
      <c r="T95" s="141" t="s">
        <v>173</v>
      </c>
      <c r="U95" s="139">
        <v>-100000</v>
      </c>
      <c r="V95" s="139"/>
      <c r="W95" s="303" t="s">
        <v>174</v>
      </c>
      <c r="X95" s="139">
        <v>-100000</v>
      </c>
      <c r="Y95" s="139"/>
      <c r="Z95" s="304" t="s">
        <v>240</v>
      </c>
      <c r="AA95" s="139">
        <v>-100000</v>
      </c>
      <c r="AB95" s="308"/>
      <c r="AC95" s="308"/>
      <c r="AD95" s="308"/>
      <c r="AE95" s="139"/>
      <c r="AF95" s="139"/>
      <c r="AG95" s="139"/>
      <c r="AH95" s="139"/>
      <c r="AI95" s="139"/>
      <c r="AJ95" s="139"/>
      <c r="AK95" s="307"/>
      <c r="AL95" s="307"/>
      <c r="AM95" s="307"/>
      <c r="AN95" s="307"/>
      <c r="AO95" s="307"/>
      <c r="AP95" s="86"/>
      <c r="AQ95" s="270">
        <v>-100000</v>
      </c>
      <c r="AS95" s="58"/>
      <c r="AT95" s="58"/>
      <c r="AU95" s="58"/>
      <c r="AV95" s="58"/>
      <c r="AW95" s="58"/>
      <c r="AX95" s="58"/>
      <c r="AY95" s="58"/>
      <c r="AZ95" s="58"/>
    </row>
    <row r="96" spans="1:70" ht="12.75" customHeight="1" x14ac:dyDescent="0.2">
      <c r="B96" s="134" t="s">
        <v>241</v>
      </c>
      <c r="C96" s="135"/>
      <c r="D96" s="136">
        <v>8170</v>
      </c>
      <c r="E96" s="136">
        <v>8440</v>
      </c>
      <c r="F96" s="136">
        <v>7510</v>
      </c>
      <c r="G96" s="133">
        <f t="shared" si="55"/>
        <v>-24804</v>
      </c>
      <c r="H96" s="132"/>
      <c r="I96" s="132"/>
      <c r="J96" s="132"/>
      <c r="K96" s="132"/>
      <c r="L96" s="133"/>
      <c r="M96" s="133">
        <v>-4804</v>
      </c>
      <c r="N96" s="133">
        <v>-20000</v>
      </c>
      <c r="O96" s="133">
        <v>0</v>
      </c>
      <c r="P96" s="133">
        <f t="shared" si="53"/>
        <v>-20000</v>
      </c>
      <c r="Q96" s="133">
        <v>0</v>
      </c>
      <c r="R96" s="137">
        <f t="shared" si="54"/>
        <v>0</v>
      </c>
      <c r="S96" s="143"/>
      <c r="T96" s="141"/>
      <c r="U96" s="139"/>
      <c r="V96" s="139"/>
      <c r="W96" s="304"/>
      <c r="X96" s="139"/>
      <c r="Y96" s="139"/>
      <c r="Z96" s="304"/>
      <c r="AA96" s="139"/>
      <c r="AB96" s="308"/>
      <c r="AC96" s="308"/>
      <c r="AD96" s="308"/>
      <c r="AE96" s="139"/>
      <c r="AF96" s="139"/>
      <c r="AG96" s="139"/>
      <c r="AH96" s="139"/>
      <c r="AI96" s="139"/>
      <c r="AJ96" s="139"/>
      <c r="AK96" s="307"/>
      <c r="AL96" s="307"/>
      <c r="AM96" s="307"/>
      <c r="AN96" s="307"/>
      <c r="AO96" s="307"/>
      <c r="AP96" s="86"/>
      <c r="AQ96" s="270"/>
      <c r="AS96" s="58"/>
      <c r="AT96" s="58"/>
      <c r="AU96" s="58"/>
      <c r="AV96" s="58"/>
      <c r="AW96" s="58"/>
      <c r="AX96" s="58"/>
      <c r="AY96" s="58"/>
      <c r="AZ96" s="58"/>
    </row>
    <row r="97" spans="1:70" ht="12.75" customHeight="1" x14ac:dyDescent="0.2">
      <c r="B97" s="134" t="s">
        <v>81</v>
      </c>
      <c r="C97" s="135"/>
      <c r="D97" s="136">
        <v>8105</v>
      </c>
      <c r="E97" s="136">
        <v>8440</v>
      </c>
      <c r="F97" s="136" t="s">
        <v>232</v>
      </c>
      <c r="G97" s="133">
        <f t="shared" si="55"/>
        <v>-191685.65</v>
      </c>
      <c r="H97" s="132">
        <v>-30000</v>
      </c>
      <c r="I97" s="132">
        <v>-35075</v>
      </c>
      <c r="J97" s="132">
        <v>-30000</v>
      </c>
      <c r="K97" s="132">
        <v>-30601</v>
      </c>
      <c r="L97" s="133">
        <v>-30000</v>
      </c>
      <c r="M97" s="133">
        <v>-36009.65</v>
      </c>
      <c r="N97" s="133">
        <v>-60000</v>
      </c>
      <c r="O97" s="133">
        <v>0</v>
      </c>
      <c r="P97" s="133">
        <f t="shared" si="53"/>
        <v>-60000</v>
      </c>
      <c r="Q97" s="133">
        <v>0</v>
      </c>
      <c r="R97" s="137">
        <f t="shared" si="54"/>
        <v>0</v>
      </c>
      <c r="S97" s="136"/>
      <c r="T97" s="141" t="s">
        <v>173</v>
      </c>
      <c r="U97" s="139">
        <v>-30000</v>
      </c>
      <c r="V97" s="139"/>
      <c r="W97" s="303" t="s">
        <v>174</v>
      </c>
      <c r="X97" s="139"/>
      <c r="Y97" s="139"/>
      <c r="Z97" s="304"/>
      <c r="AA97" s="139"/>
      <c r="AB97" s="308"/>
      <c r="AC97" s="308"/>
      <c r="AD97" s="308"/>
      <c r="AE97" s="139"/>
      <c r="AF97" s="139"/>
      <c r="AG97" s="139"/>
      <c r="AH97" s="139"/>
      <c r="AI97" s="139"/>
      <c r="AJ97" s="139"/>
      <c r="AK97" s="307"/>
      <c r="AL97" s="307"/>
      <c r="AM97" s="307"/>
      <c r="AN97" s="307"/>
      <c r="AO97" s="307"/>
      <c r="AP97" s="86"/>
      <c r="AQ97" s="270">
        <v>-60000</v>
      </c>
      <c r="AS97" s="58"/>
      <c r="AT97" s="58"/>
      <c r="AU97" s="58"/>
      <c r="AV97" s="58"/>
      <c r="AW97" s="58"/>
      <c r="AX97" s="58"/>
      <c r="AY97" s="58"/>
      <c r="AZ97" s="58"/>
    </row>
    <row r="98" spans="1:70" ht="12.75" customHeight="1" x14ac:dyDescent="0.2">
      <c r="B98" s="134" t="s">
        <v>242</v>
      </c>
      <c r="C98" s="135"/>
      <c r="D98" s="136">
        <v>8171</v>
      </c>
      <c r="E98" s="136">
        <v>8440</v>
      </c>
      <c r="F98" s="136" t="s">
        <v>232</v>
      </c>
      <c r="G98" s="133">
        <f t="shared" si="55"/>
        <v>-139067.45000000001</v>
      </c>
      <c r="H98" s="132"/>
      <c r="I98" s="132"/>
      <c r="J98" s="132">
        <v>-50000</v>
      </c>
      <c r="K98" s="132">
        <v>-66974.759999999995</v>
      </c>
      <c r="L98" s="133">
        <v>-35000</v>
      </c>
      <c r="M98" s="133">
        <v>-42092.69</v>
      </c>
      <c r="N98" s="133">
        <v>-30000</v>
      </c>
      <c r="O98" s="133">
        <v>0</v>
      </c>
      <c r="P98" s="133">
        <f t="shared" si="53"/>
        <v>-30000</v>
      </c>
      <c r="Q98" s="133">
        <v>0</v>
      </c>
      <c r="R98" s="137">
        <f t="shared" si="54"/>
        <v>0</v>
      </c>
      <c r="S98" s="136"/>
      <c r="T98" s="141" t="s">
        <v>173</v>
      </c>
      <c r="U98" s="139"/>
      <c r="V98" s="139"/>
      <c r="W98" s="304"/>
      <c r="X98" s="139"/>
      <c r="Y98" s="139"/>
      <c r="Z98" s="304"/>
      <c r="AA98" s="139"/>
      <c r="AB98" s="308"/>
      <c r="AC98" s="308"/>
      <c r="AD98" s="308"/>
      <c r="AE98" s="139"/>
      <c r="AF98" s="139"/>
      <c r="AG98" s="139"/>
      <c r="AH98" s="139"/>
      <c r="AI98" s="139"/>
      <c r="AJ98" s="139"/>
      <c r="AK98" s="307"/>
      <c r="AL98" s="307"/>
      <c r="AM98" s="307"/>
      <c r="AN98" s="307"/>
      <c r="AO98" s="307"/>
      <c r="AP98" s="86"/>
      <c r="AQ98" s="270">
        <v>-30000</v>
      </c>
      <c r="AS98" s="58"/>
      <c r="AT98" s="58"/>
      <c r="AU98" s="58"/>
      <c r="AV98" s="58"/>
      <c r="AW98" s="58"/>
      <c r="AX98" s="58"/>
      <c r="AY98" s="58"/>
      <c r="AZ98" s="58"/>
    </row>
    <row r="99" spans="1:70" ht="12.75" customHeight="1" x14ac:dyDescent="0.2">
      <c r="B99" s="134" t="s">
        <v>243</v>
      </c>
      <c r="C99" s="135"/>
      <c r="D99" s="136">
        <v>8118</v>
      </c>
      <c r="E99" s="136">
        <v>8440</v>
      </c>
      <c r="F99" s="136">
        <v>7520</v>
      </c>
      <c r="G99" s="133">
        <f t="shared" si="55"/>
        <v>-559023.29</v>
      </c>
      <c r="H99" s="132"/>
      <c r="I99" s="132"/>
      <c r="J99" s="132">
        <v>-253455</v>
      </c>
      <c r="K99" s="132">
        <v>-239137</v>
      </c>
      <c r="L99" s="133">
        <v>-73200</v>
      </c>
      <c r="M99" s="133">
        <v>-57586.29</v>
      </c>
      <c r="N99" s="133">
        <v>-73200</v>
      </c>
      <c r="O99" s="133">
        <v>0</v>
      </c>
      <c r="P99" s="133">
        <f t="shared" si="53"/>
        <v>-73200</v>
      </c>
      <c r="Q99" s="133">
        <v>0</v>
      </c>
      <c r="R99" s="137">
        <f t="shared" si="54"/>
        <v>0</v>
      </c>
      <c r="S99" s="290" t="s">
        <v>244</v>
      </c>
      <c r="T99" s="141" t="s">
        <v>192</v>
      </c>
      <c r="U99" s="139">
        <v>-61000</v>
      </c>
      <c r="V99" s="139"/>
      <c r="W99" s="303" t="s">
        <v>174</v>
      </c>
      <c r="X99" s="139">
        <v>-67100</v>
      </c>
      <c r="Y99" s="139"/>
      <c r="Z99" s="304" t="s">
        <v>240</v>
      </c>
      <c r="AA99" s="139">
        <v>-61000</v>
      </c>
      <c r="AB99" s="328"/>
      <c r="AC99" s="328"/>
      <c r="AD99" s="328">
        <v>-45750</v>
      </c>
      <c r="AE99" s="322">
        <v>-30500</v>
      </c>
      <c r="AF99" s="328"/>
      <c r="AG99" s="328"/>
      <c r="AH99" s="328"/>
      <c r="AI99" s="328"/>
      <c r="AJ99" s="328">
        <v>-45750</v>
      </c>
      <c r="AK99" s="322">
        <v>-30500</v>
      </c>
      <c r="AL99" s="322"/>
      <c r="AM99" s="322"/>
      <c r="AN99" s="322"/>
      <c r="AO99" s="322"/>
      <c r="AP99" s="86"/>
      <c r="AQ99" s="270">
        <v>-60000</v>
      </c>
      <c r="AS99" s="58"/>
      <c r="AT99" s="58"/>
      <c r="AU99" s="58"/>
      <c r="AV99" s="58"/>
      <c r="AW99" s="58"/>
      <c r="AX99" s="58"/>
      <c r="AY99" s="58"/>
      <c r="AZ99" s="58"/>
    </row>
    <row r="100" spans="1:70" ht="12.75" hidden="1" customHeight="1" x14ac:dyDescent="0.2">
      <c r="B100" s="134" t="s">
        <v>245</v>
      </c>
      <c r="C100" s="135"/>
      <c r="D100" s="136"/>
      <c r="E100" s="136"/>
      <c r="F100" s="136" t="s">
        <v>232</v>
      </c>
      <c r="G100" s="133">
        <f t="shared" si="55"/>
        <v>-4236</v>
      </c>
      <c r="H100" s="132">
        <v>-20000</v>
      </c>
      <c r="I100" s="132">
        <v>-4236</v>
      </c>
      <c r="J100" s="132"/>
      <c r="K100" s="132"/>
      <c r="L100" s="132"/>
      <c r="M100" s="133"/>
      <c r="N100" s="133"/>
      <c r="O100" s="133"/>
      <c r="P100" s="133">
        <f t="shared" si="53"/>
        <v>0</v>
      </c>
      <c r="Q100" s="133"/>
      <c r="R100" s="137" t="e">
        <f t="shared" si="54"/>
        <v>#DIV/0!</v>
      </c>
      <c r="S100" s="136"/>
      <c r="T100" s="141"/>
      <c r="U100" s="139"/>
      <c r="V100" s="139"/>
      <c r="W100" s="304"/>
      <c r="X100" s="139"/>
      <c r="Y100" s="139"/>
      <c r="Z100" s="304"/>
      <c r="AA100" s="139"/>
      <c r="AB100" s="308"/>
      <c r="AC100" s="308"/>
      <c r="AD100" s="308"/>
      <c r="AE100" s="139"/>
      <c r="AF100" s="139"/>
      <c r="AG100" s="139"/>
      <c r="AH100" s="139"/>
      <c r="AI100" s="139"/>
      <c r="AJ100" s="139"/>
      <c r="AK100" s="307"/>
      <c r="AL100" s="307"/>
      <c r="AM100" s="307"/>
      <c r="AN100" s="307"/>
      <c r="AO100" s="307"/>
      <c r="AP100" s="86"/>
      <c r="AQ100" s="270"/>
      <c r="AS100" s="58"/>
      <c r="AT100" s="58"/>
      <c r="AU100" s="58"/>
      <c r="AV100" s="58"/>
      <c r="AW100" s="58"/>
      <c r="AX100" s="58"/>
      <c r="AY100" s="58"/>
      <c r="AZ100" s="58"/>
    </row>
    <row r="101" spans="1:70" ht="12.75" hidden="1" customHeight="1" x14ac:dyDescent="0.2">
      <c r="B101" s="134" t="s">
        <v>246</v>
      </c>
      <c r="C101" s="135"/>
      <c r="D101" s="136">
        <v>8116</v>
      </c>
      <c r="E101" s="136">
        <v>8440</v>
      </c>
      <c r="F101" s="136" t="s">
        <v>232</v>
      </c>
      <c r="G101" s="133">
        <f t="shared" si="55"/>
        <v>-55919</v>
      </c>
      <c r="H101" s="132">
        <v>0</v>
      </c>
      <c r="I101" s="132">
        <v>-1361</v>
      </c>
      <c r="J101" s="132"/>
      <c r="K101" s="132">
        <v>-54558</v>
      </c>
      <c r="L101" s="132"/>
      <c r="M101" s="133"/>
      <c r="N101" s="133"/>
      <c r="O101" s="133"/>
      <c r="P101" s="133">
        <f t="shared" si="53"/>
        <v>0</v>
      </c>
      <c r="Q101" s="133"/>
      <c r="R101" s="137" t="e">
        <f t="shared" si="54"/>
        <v>#DIV/0!</v>
      </c>
      <c r="S101" s="290"/>
      <c r="T101" s="291"/>
      <c r="U101" s="139"/>
      <c r="V101" s="139"/>
      <c r="W101" s="304"/>
      <c r="X101" s="139"/>
      <c r="Y101" s="139"/>
      <c r="Z101" s="304"/>
      <c r="AA101" s="139"/>
      <c r="AB101" s="328"/>
      <c r="AC101" s="328"/>
      <c r="AD101" s="328"/>
      <c r="AE101" s="328"/>
      <c r="AF101" s="328"/>
      <c r="AG101" s="328"/>
      <c r="AH101" s="328"/>
      <c r="AI101" s="328"/>
      <c r="AJ101" s="328"/>
      <c r="AK101" s="322"/>
      <c r="AL101" s="322"/>
      <c r="AM101" s="322"/>
      <c r="AN101" s="322"/>
      <c r="AO101" s="322"/>
      <c r="AP101" s="86"/>
      <c r="AQ101" s="270"/>
      <c r="AS101" s="58"/>
      <c r="AT101" s="58"/>
      <c r="AU101" s="58"/>
      <c r="AV101" s="58"/>
      <c r="AW101" s="58"/>
      <c r="AX101" s="58"/>
      <c r="AY101" s="58"/>
      <c r="AZ101" s="58"/>
    </row>
    <row r="102" spans="1:70" ht="12.75" hidden="1" customHeight="1" x14ac:dyDescent="0.2">
      <c r="B102" s="134" t="s">
        <v>94</v>
      </c>
      <c r="C102" s="135"/>
      <c r="D102" s="136">
        <v>8113</v>
      </c>
      <c r="E102" s="136">
        <v>8440</v>
      </c>
      <c r="F102" s="136">
        <v>7510</v>
      </c>
      <c r="G102" s="133">
        <f t="shared" si="55"/>
        <v>-12818</v>
      </c>
      <c r="H102" s="132">
        <v>-30000</v>
      </c>
      <c r="I102" s="132">
        <v>-2369</v>
      </c>
      <c r="J102" s="132">
        <v>-30000</v>
      </c>
      <c r="K102" s="132">
        <v>-10449</v>
      </c>
      <c r="L102" s="132">
        <v>-20000</v>
      </c>
      <c r="M102" s="133">
        <v>0</v>
      </c>
      <c r="N102" s="133"/>
      <c r="O102" s="133"/>
      <c r="P102" s="133">
        <f t="shared" si="53"/>
        <v>0</v>
      </c>
      <c r="Q102" s="133"/>
      <c r="R102" s="137" t="e">
        <f t="shared" si="54"/>
        <v>#DIV/0!</v>
      </c>
      <c r="S102" s="136"/>
      <c r="T102" s="141"/>
      <c r="U102" s="139"/>
      <c r="V102" s="139"/>
      <c r="W102" s="304"/>
      <c r="X102" s="139"/>
      <c r="Y102" s="139"/>
      <c r="Z102" s="304"/>
      <c r="AA102" s="139"/>
      <c r="AB102" s="328"/>
      <c r="AC102" s="328"/>
      <c r="AD102" s="328"/>
      <c r="AE102" s="116"/>
      <c r="AF102" s="116"/>
      <c r="AG102" s="116"/>
      <c r="AH102" s="116"/>
      <c r="AI102" s="116"/>
      <c r="AJ102" s="116"/>
      <c r="AK102" s="307"/>
      <c r="AL102" s="307"/>
      <c r="AM102" s="307"/>
      <c r="AN102" s="307"/>
      <c r="AO102" s="307"/>
      <c r="AP102" s="86"/>
      <c r="AQ102" s="270"/>
      <c r="AS102" s="58"/>
      <c r="AT102" s="58"/>
      <c r="AU102" s="58"/>
      <c r="AV102" s="58"/>
      <c r="AW102" s="58"/>
      <c r="AX102" s="58"/>
      <c r="AY102" s="58"/>
      <c r="AZ102" s="58"/>
    </row>
    <row r="103" spans="1:70" ht="12.75" hidden="1" customHeight="1" x14ac:dyDescent="0.2">
      <c r="B103" s="134" t="s">
        <v>49</v>
      </c>
      <c r="C103" s="135"/>
      <c r="D103" s="136">
        <v>8138</v>
      </c>
      <c r="E103" s="136">
        <v>8440</v>
      </c>
      <c r="F103" s="136">
        <v>7510</v>
      </c>
      <c r="G103" s="133">
        <f t="shared" si="55"/>
        <v>-52498</v>
      </c>
      <c r="H103" s="132">
        <v>-40000</v>
      </c>
      <c r="I103" s="132">
        <v>-35678</v>
      </c>
      <c r="J103" s="132">
        <v>-20000</v>
      </c>
      <c r="K103" s="132">
        <v>-16820</v>
      </c>
      <c r="L103" s="132"/>
      <c r="M103" s="133"/>
      <c r="N103" s="133"/>
      <c r="O103" s="133"/>
      <c r="P103" s="133">
        <f t="shared" si="53"/>
        <v>0</v>
      </c>
      <c r="Q103" s="133"/>
      <c r="R103" s="137" t="e">
        <f t="shared" si="54"/>
        <v>#DIV/0!</v>
      </c>
      <c r="S103" s="136"/>
      <c r="T103" s="141"/>
      <c r="U103" s="139"/>
      <c r="V103" s="139"/>
      <c r="W103" s="304"/>
      <c r="X103" s="139"/>
      <c r="Y103" s="139"/>
      <c r="Z103" s="304"/>
      <c r="AA103" s="139"/>
      <c r="AB103" s="308"/>
      <c r="AC103" s="308"/>
      <c r="AD103" s="308"/>
      <c r="AE103" s="139"/>
      <c r="AF103" s="139"/>
      <c r="AG103" s="139"/>
      <c r="AH103" s="139"/>
      <c r="AI103" s="139"/>
      <c r="AJ103" s="139"/>
      <c r="AK103" s="307"/>
      <c r="AL103" s="307"/>
      <c r="AM103" s="307"/>
      <c r="AN103" s="307"/>
      <c r="AO103" s="307"/>
      <c r="AP103" s="86"/>
      <c r="AQ103" s="270"/>
      <c r="AS103" s="58"/>
      <c r="AT103" s="58"/>
      <c r="AU103" s="58"/>
      <c r="AV103" s="58"/>
      <c r="AW103" s="58"/>
      <c r="AX103" s="58"/>
      <c r="AY103" s="58"/>
      <c r="AZ103" s="58"/>
    </row>
    <row r="104" spans="1:70" ht="12.75" hidden="1" customHeight="1" x14ac:dyDescent="0.2">
      <c r="B104" s="134" t="s">
        <v>52</v>
      </c>
      <c r="C104" s="135"/>
      <c r="D104" s="136">
        <v>8140</v>
      </c>
      <c r="E104" s="136">
        <v>8440</v>
      </c>
      <c r="F104" s="136">
        <v>7510</v>
      </c>
      <c r="G104" s="133">
        <f t="shared" si="55"/>
        <v>-65723</v>
      </c>
      <c r="H104" s="132">
        <v>-60000</v>
      </c>
      <c r="I104" s="132">
        <v>-55228</v>
      </c>
      <c r="J104" s="132">
        <v>-30000</v>
      </c>
      <c r="K104" s="132">
        <v>-10495</v>
      </c>
      <c r="L104" s="132"/>
      <c r="M104" s="133"/>
      <c r="N104" s="133"/>
      <c r="O104" s="133"/>
      <c r="P104" s="133">
        <f t="shared" si="53"/>
        <v>0</v>
      </c>
      <c r="Q104" s="133"/>
      <c r="R104" s="137" t="e">
        <f t="shared" si="54"/>
        <v>#DIV/0!</v>
      </c>
      <c r="S104" s="136"/>
      <c r="T104" s="141"/>
      <c r="U104" s="139"/>
      <c r="V104" s="139"/>
      <c r="W104" s="304"/>
      <c r="X104" s="139"/>
      <c r="Y104" s="139"/>
      <c r="Z104" s="304"/>
      <c r="AA104" s="139"/>
      <c r="AB104" s="308"/>
      <c r="AC104" s="308"/>
      <c r="AD104" s="308"/>
      <c r="AE104" s="139"/>
      <c r="AF104" s="139"/>
      <c r="AG104" s="139"/>
      <c r="AH104" s="139"/>
      <c r="AI104" s="139"/>
      <c r="AJ104" s="139"/>
      <c r="AK104" s="307"/>
      <c r="AL104" s="307"/>
      <c r="AM104" s="307"/>
      <c r="AN104" s="307"/>
      <c r="AO104" s="307"/>
      <c r="AP104" s="86"/>
      <c r="AQ104" s="270"/>
      <c r="AS104" s="58"/>
      <c r="AT104" s="58"/>
      <c r="AU104" s="58"/>
      <c r="AV104" s="58"/>
      <c r="AW104" s="58"/>
      <c r="AX104" s="58"/>
      <c r="AY104" s="58"/>
      <c r="AZ104" s="58"/>
    </row>
    <row r="105" spans="1:70" ht="12.75" hidden="1" customHeight="1" x14ac:dyDescent="0.2">
      <c r="B105" s="134" t="s">
        <v>62</v>
      </c>
      <c r="C105" s="135"/>
      <c r="D105" s="136">
        <v>8172</v>
      </c>
      <c r="E105" s="136">
        <v>8440</v>
      </c>
      <c r="F105" s="136" t="s">
        <v>232</v>
      </c>
      <c r="G105" s="133">
        <f t="shared" si="55"/>
        <v>-5000</v>
      </c>
      <c r="H105" s="132">
        <v>-60000</v>
      </c>
      <c r="I105" s="132">
        <v>-5000</v>
      </c>
      <c r="J105" s="132">
        <v>0</v>
      </c>
      <c r="K105" s="132">
        <v>0</v>
      </c>
      <c r="L105" s="132"/>
      <c r="M105" s="133"/>
      <c r="N105" s="133"/>
      <c r="O105" s="133"/>
      <c r="P105" s="133">
        <f t="shared" si="53"/>
        <v>0</v>
      </c>
      <c r="Q105" s="133"/>
      <c r="R105" s="137" t="e">
        <f t="shared" si="54"/>
        <v>#DIV/0!</v>
      </c>
      <c r="S105" s="100"/>
      <c r="T105" s="119"/>
      <c r="U105" s="139"/>
      <c r="V105" s="139"/>
      <c r="W105" s="304"/>
      <c r="X105" s="139"/>
      <c r="Y105" s="139"/>
      <c r="Z105" s="304"/>
      <c r="AA105" s="139"/>
      <c r="AB105" s="308"/>
      <c r="AC105" s="308"/>
      <c r="AD105" s="308"/>
      <c r="AE105" s="139"/>
      <c r="AF105" s="139"/>
      <c r="AG105" s="139"/>
      <c r="AH105" s="139"/>
      <c r="AI105" s="139"/>
      <c r="AJ105" s="139"/>
      <c r="AK105" s="117"/>
      <c r="AL105" s="330"/>
      <c r="AM105" s="307"/>
      <c r="AN105" s="307"/>
      <c r="AO105" s="307"/>
      <c r="AP105" s="86"/>
      <c r="AQ105" s="270"/>
      <c r="AS105" s="58"/>
      <c r="AT105" s="58"/>
      <c r="AU105" s="58"/>
      <c r="AV105" s="58"/>
      <c r="AW105" s="58"/>
      <c r="AX105" s="58"/>
      <c r="AY105" s="58"/>
      <c r="AZ105" s="58"/>
    </row>
    <row r="106" spans="1:70" s="57" customFormat="1" ht="12.75" customHeight="1" x14ac:dyDescent="0.2">
      <c r="A106" s="7"/>
      <c r="B106" s="134" t="s">
        <v>247</v>
      </c>
      <c r="C106" s="135" t="s">
        <v>55</v>
      </c>
      <c r="D106" s="136">
        <v>8107</v>
      </c>
      <c r="E106" s="136">
        <v>8440</v>
      </c>
      <c r="F106" s="136" t="s">
        <v>232</v>
      </c>
      <c r="G106" s="297">
        <f>SUM(I106,K106,M106,N106,U106:AA106)</f>
        <v>-365058</v>
      </c>
      <c r="H106" s="133">
        <v>-100000</v>
      </c>
      <c r="I106" s="133">
        <v>-106050</v>
      </c>
      <c r="J106" s="133">
        <v>-200000</v>
      </c>
      <c r="K106" s="133">
        <v>-47614</v>
      </c>
      <c r="L106" s="133">
        <v>-200000</v>
      </c>
      <c r="M106" s="297">
        <v>-151394</v>
      </c>
      <c r="N106" s="297">
        <v>-60000</v>
      </c>
      <c r="O106" s="297">
        <v>0</v>
      </c>
      <c r="P106" s="297">
        <f t="shared" si="53"/>
        <v>-60000</v>
      </c>
      <c r="Q106" s="297">
        <v>-71472</v>
      </c>
      <c r="R106" s="137">
        <f t="shared" si="54"/>
        <v>1.1912</v>
      </c>
      <c r="S106" s="140">
        <v>44446</v>
      </c>
      <c r="T106" s="144" t="s">
        <v>211</v>
      </c>
      <c r="U106" s="298"/>
      <c r="V106" s="298"/>
      <c r="W106" s="299"/>
      <c r="X106" s="298"/>
      <c r="Y106" s="298"/>
      <c r="Z106" s="299"/>
      <c r="AA106" s="307"/>
      <c r="AB106" s="322"/>
      <c r="AC106" s="322"/>
      <c r="AD106" s="322"/>
      <c r="AE106" s="307"/>
      <c r="AF106" s="307"/>
      <c r="AG106" s="307"/>
      <c r="AH106" s="307"/>
      <c r="AI106" s="307"/>
      <c r="AJ106" s="307"/>
      <c r="AK106" s="298"/>
      <c r="AL106" s="298"/>
      <c r="AM106" s="298"/>
      <c r="AN106" s="298"/>
      <c r="AO106" s="298"/>
      <c r="AP106" s="86"/>
      <c r="AQ106" s="270">
        <v>-70000</v>
      </c>
      <c r="AR106" s="1"/>
      <c r="AS106" s="59"/>
      <c r="AT106" s="59"/>
      <c r="AU106" s="59"/>
      <c r="AV106" s="59"/>
      <c r="AW106" s="59"/>
      <c r="AX106" s="59"/>
      <c r="AY106" s="59"/>
      <c r="AZ106" s="59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</row>
    <row r="107" spans="1:70" s="57" customFormat="1" ht="12.75" customHeight="1" x14ac:dyDescent="0.2">
      <c r="A107" s="7"/>
      <c r="B107" s="293" t="s">
        <v>248</v>
      </c>
      <c r="C107" s="135"/>
      <c r="D107" s="136"/>
      <c r="E107" s="136"/>
      <c r="F107" s="136"/>
      <c r="G107" s="297"/>
      <c r="H107" s="133"/>
      <c r="I107" s="133"/>
      <c r="J107" s="133"/>
      <c r="K107" s="133"/>
      <c r="L107" s="133"/>
      <c r="M107" s="297"/>
      <c r="N107" s="133">
        <v>0</v>
      </c>
      <c r="O107" s="289">
        <v>-60000</v>
      </c>
      <c r="P107" s="289">
        <f t="shared" si="53"/>
        <v>-60000</v>
      </c>
      <c r="Q107" s="133">
        <v>0</v>
      </c>
      <c r="R107" s="137">
        <v>0</v>
      </c>
      <c r="S107" s="143" t="s">
        <v>218</v>
      </c>
      <c r="T107" s="141" t="s">
        <v>173</v>
      </c>
      <c r="U107" s="298"/>
      <c r="V107" s="298"/>
      <c r="W107" s="299"/>
      <c r="X107" s="298"/>
      <c r="Y107" s="298"/>
      <c r="Z107" s="299"/>
      <c r="AA107" s="307"/>
      <c r="AB107" s="322"/>
      <c r="AC107" s="322"/>
      <c r="AD107" s="322"/>
      <c r="AE107" s="307"/>
      <c r="AF107" s="307"/>
      <c r="AG107" s="307"/>
      <c r="AH107" s="307"/>
      <c r="AI107" s="307"/>
      <c r="AJ107" s="307"/>
      <c r="AK107" s="298"/>
      <c r="AL107" s="298"/>
      <c r="AM107" s="298"/>
      <c r="AN107" s="298"/>
      <c r="AO107" s="298"/>
      <c r="AP107" s="86"/>
      <c r="AQ107" s="270">
        <v>-60000</v>
      </c>
      <c r="AR107" s="1"/>
      <c r="AS107" s="59"/>
      <c r="AT107" s="59"/>
      <c r="AU107" s="59"/>
      <c r="AV107" s="59"/>
      <c r="AW107" s="59"/>
      <c r="AX107" s="59"/>
      <c r="AY107" s="59"/>
      <c r="AZ107" s="59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</row>
    <row r="108" spans="1:70" s="58" customFormat="1" ht="12.75" customHeight="1" x14ac:dyDescent="0.2">
      <c r="B108" s="263" t="s">
        <v>249</v>
      </c>
      <c r="C108" s="263"/>
      <c r="D108" s="264"/>
      <c r="E108" s="264"/>
      <c r="F108" s="264"/>
      <c r="G108" s="271">
        <f>SUM(G84,G85,G86,G88,G92,G94,G95,G96,G97,G98,G99,G106)</f>
        <v>-2631227.91</v>
      </c>
      <c r="H108" s="271">
        <f t="shared" ref="H108:AA108" si="56">SUM(H84,H85,H86,H88,H92,H94,H95,H96,H97,H98,H99,H106)</f>
        <v>-250000</v>
      </c>
      <c r="I108" s="271">
        <f t="shared" si="56"/>
        <v>-163591</v>
      </c>
      <c r="J108" s="271">
        <f t="shared" si="56"/>
        <v>-573455</v>
      </c>
      <c r="K108" s="271">
        <f t="shared" si="56"/>
        <v>-404637.76</v>
      </c>
      <c r="L108" s="271">
        <f t="shared" si="56"/>
        <v>-363200</v>
      </c>
      <c r="M108" s="271">
        <f>SUM(M84:M106)</f>
        <v>-373555.65</v>
      </c>
      <c r="N108" s="271">
        <f>SUM(N84:N107)</f>
        <v>-1013200</v>
      </c>
      <c r="O108" s="271">
        <f>SUM(O84:O107)</f>
        <v>140000</v>
      </c>
      <c r="P108" s="271">
        <f>SUM(P84:P107)</f>
        <v>-873200</v>
      </c>
      <c r="Q108" s="271">
        <f>SUM(Q84:Q107)</f>
        <v>-138480.74</v>
      </c>
      <c r="R108" s="272">
        <f t="shared" ref="R108" si="57">Q108/P108</f>
        <v>0.15858994502977553</v>
      </c>
      <c r="S108" s="271"/>
      <c r="T108" s="271"/>
      <c r="U108" s="316">
        <f t="shared" si="56"/>
        <v>-411000</v>
      </c>
      <c r="V108" s="316"/>
      <c r="W108" s="317"/>
      <c r="X108" s="316">
        <f t="shared" si="56"/>
        <v>-167100</v>
      </c>
      <c r="Y108" s="316"/>
      <c r="Z108" s="317"/>
      <c r="AA108" s="316">
        <f t="shared" si="56"/>
        <v>-161000</v>
      </c>
      <c r="AB108" s="318"/>
      <c r="AC108" s="318"/>
      <c r="AD108" s="318">
        <f t="shared" ref="AD108:AO108" si="58">SUM(AD84:AD106)</f>
        <v>-45750</v>
      </c>
      <c r="AE108" s="316">
        <f t="shared" si="58"/>
        <v>-30500</v>
      </c>
      <c r="AF108" s="316">
        <f t="shared" si="58"/>
        <v>0</v>
      </c>
      <c r="AG108" s="316">
        <f t="shared" si="58"/>
        <v>0</v>
      </c>
      <c r="AH108" s="316">
        <f t="shared" si="58"/>
        <v>0</v>
      </c>
      <c r="AI108" s="316">
        <f t="shared" si="58"/>
        <v>0</v>
      </c>
      <c r="AJ108" s="316">
        <f t="shared" si="58"/>
        <v>-45750</v>
      </c>
      <c r="AK108" s="316">
        <f t="shared" si="58"/>
        <v>-30500</v>
      </c>
      <c r="AL108" s="316">
        <f t="shared" si="58"/>
        <v>0</v>
      </c>
      <c r="AM108" s="316">
        <f t="shared" si="58"/>
        <v>0</v>
      </c>
      <c r="AN108" s="316">
        <f t="shared" si="58"/>
        <v>0</v>
      </c>
      <c r="AO108" s="316">
        <f t="shared" si="58"/>
        <v>0</v>
      </c>
      <c r="AP108" s="115"/>
      <c r="AQ108" s="274">
        <f>SUM(AQ84:AQ107)</f>
        <v>-650000</v>
      </c>
      <c r="AR108" s="1"/>
    </row>
    <row r="109" spans="1:70" s="58" customFormat="1" ht="12.75" customHeight="1" x14ac:dyDescent="0.2">
      <c r="B109" s="268"/>
      <c r="C109" s="187"/>
      <c r="D109" s="331"/>
      <c r="E109" s="331"/>
      <c r="F109" s="331"/>
      <c r="G109" s="268"/>
      <c r="H109" s="268"/>
      <c r="I109" s="268"/>
      <c r="J109" s="268"/>
      <c r="K109" s="268"/>
      <c r="L109" s="268"/>
      <c r="M109" s="268"/>
      <c r="N109" s="268"/>
      <c r="O109" s="268"/>
      <c r="P109" s="268"/>
      <c r="Q109" s="268"/>
      <c r="R109" s="268"/>
      <c r="S109" s="268"/>
      <c r="T109" s="268"/>
      <c r="U109" s="323"/>
      <c r="V109" s="323"/>
      <c r="W109" s="299"/>
      <c r="X109" s="323"/>
      <c r="Y109" s="323"/>
      <c r="Z109" s="299"/>
      <c r="AA109" s="323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325"/>
      <c r="AR109" s="1"/>
    </row>
    <row r="110" spans="1:70" s="58" customFormat="1" ht="12.75" customHeight="1" x14ac:dyDescent="0.2">
      <c r="B110" s="268"/>
      <c r="C110" s="187"/>
      <c r="D110" s="331"/>
      <c r="E110" s="331"/>
      <c r="F110" s="331"/>
      <c r="G110" s="268"/>
      <c r="H110" s="268"/>
      <c r="I110" s="268"/>
      <c r="J110" s="268"/>
      <c r="K110" s="268"/>
      <c r="L110" s="268"/>
      <c r="M110" s="268"/>
      <c r="N110" s="268"/>
      <c r="O110" s="268"/>
      <c r="P110" s="268"/>
      <c r="Q110" s="268"/>
      <c r="R110" s="268"/>
      <c r="S110" s="268"/>
      <c r="T110" s="268"/>
      <c r="U110" s="323"/>
      <c r="V110" s="323"/>
      <c r="W110" s="299"/>
      <c r="X110" s="323"/>
      <c r="Y110" s="323"/>
      <c r="Z110" s="299"/>
      <c r="AA110" s="323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86"/>
      <c r="AP110" s="86"/>
      <c r="AQ110" s="325"/>
      <c r="AR110" s="1"/>
    </row>
    <row r="111" spans="1:70" s="57" customFormat="1" ht="12.75" customHeight="1" x14ac:dyDescent="0.2">
      <c r="A111" s="7"/>
      <c r="B111" s="268"/>
      <c r="C111" s="187"/>
      <c r="D111" s="331"/>
      <c r="E111" s="331"/>
      <c r="F111" s="331"/>
      <c r="G111" s="268"/>
      <c r="H111" s="268"/>
      <c r="I111" s="268"/>
      <c r="J111" s="268"/>
      <c r="K111" s="268"/>
      <c r="L111" s="268"/>
      <c r="M111" s="268"/>
      <c r="N111" s="268"/>
      <c r="O111" s="268"/>
      <c r="P111" s="268"/>
      <c r="Q111" s="268"/>
      <c r="R111" s="268"/>
      <c r="S111" s="268"/>
      <c r="T111" s="268"/>
      <c r="U111" s="323"/>
      <c r="V111" s="323"/>
      <c r="W111" s="299"/>
      <c r="X111" s="323"/>
      <c r="Y111" s="323"/>
      <c r="Z111" s="299"/>
      <c r="AA111" s="323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325"/>
      <c r="AR111" s="1"/>
      <c r="AS111" s="58"/>
      <c r="AT111" s="58"/>
      <c r="AU111" s="58"/>
      <c r="AV111" s="58"/>
      <c r="AW111" s="58"/>
      <c r="AX111" s="58"/>
      <c r="AY111" s="58"/>
      <c r="AZ111" s="58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</row>
    <row r="112" spans="1:70" s="7" customFormat="1" ht="12.75" customHeight="1" x14ac:dyDescent="0.2">
      <c r="B112" s="262" t="s">
        <v>118</v>
      </c>
      <c r="C112" s="263"/>
      <c r="D112" s="264"/>
      <c r="E112" s="264"/>
      <c r="F112" s="264"/>
      <c r="G112" s="271">
        <f t="shared" ref="G112:Q112" si="59">G108+G80+G64</f>
        <v>-5603475.5600000005</v>
      </c>
      <c r="H112" s="271">
        <f t="shared" si="59"/>
        <v>-520000</v>
      </c>
      <c r="I112" s="271">
        <f t="shared" si="59"/>
        <v>-285116</v>
      </c>
      <c r="J112" s="271">
        <f t="shared" si="59"/>
        <v>-1053455</v>
      </c>
      <c r="K112" s="271">
        <f t="shared" si="59"/>
        <v>-642042.76</v>
      </c>
      <c r="L112" s="271">
        <f t="shared" si="59"/>
        <v>-683200</v>
      </c>
      <c r="M112" s="271">
        <f t="shared" si="59"/>
        <v>-696034.19</v>
      </c>
      <c r="N112" s="271">
        <f t="shared" si="59"/>
        <v>-2973200</v>
      </c>
      <c r="O112" s="271">
        <f t="shared" si="59"/>
        <v>487950</v>
      </c>
      <c r="P112" s="271">
        <f t="shared" si="59"/>
        <v>-2485250</v>
      </c>
      <c r="Q112" s="271">
        <f t="shared" si="59"/>
        <v>-375392.61</v>
      </c>
      <c r="R112" s="272">
        <f t="shared" ref="R112" si="60">Q112/P112</f>
        <v>0.15104822854843578</v>
      </c>
      <c r="S112" s="264"/>
      <c r="T112" s="271"/>
      <c r="U112" s="332">
        <f>U108+U80+U64</f>
        <v>-891000</v>
      </c>
      <c r="V112" s="332"/>
      <c r="W112" s="333"/>
      <c r="X112" s="332">
        <f>X108+X80+X64</f>
        <v>-167100</v>
      </c>
      <c r="Y112" s="332"/>
      <c r="Z112" s="333"/>
      <c r="AA112" s="332">
        <f>AA108+AA80+AA64</f>
        <v>-161000</v>
      </c>
      <c r="AB112" s="334"/>
      <c r="AC112" s="334"/>
      <c r="AD112" s="334">
        <f t="shared" ref="AD112:AO112" si="61">AD108+AD80+AD64</f>
        <v>-45750</v>
      </c>
      <c r="AE112" s="332">
        <f t="shared" si="61"/>
        <v>-30500</v>
      </c>
      <c r="AF112" s="332">
        <f t="shared" si="61"/>
        <v>0</v>
      </c>
      <c r="AG112" s="332">
        <f t="shared" si="61"/>
        <v>0</v>
      </c>
      <c r="AH112" s="332">
        <f t="shared" si="61"/>
        <v>0</v>
      </c>
      <c r="AI112" s="332">
        <f t="shared" si="61"/>
        <v>0</v>
      </c>
      <c r="AJ112" s="332">
        <f t="shared" si="61"/>
        <v>-102357.15</v>
      </c>
      <c r="AK112" s="332">
        <f t="shared" si="61"/>
        <v>-356116.07750000001</v>
      </c>
      <c r="AL112" s="332">
        <f t="shared" si="61"/>
        <v>-348773.66587500001</v>
      </c>
      <c r="AM112" s="332">
        <f t="shared" si="61"/>
        <v>0</v>
      </c>
      <c r="AN112" s="332">
        <f t="shared" si="61"/>
        <v>0</v>
      </c>
      <c r="AO112" s="332">
        <f t="shared" si="61"/>
        <v>0</v>
      </c>
      <c r="AP112" s="86"/>
      <c r="AQ112" s="274">
        <f>AQ108+AQ80+AQ64</f>
        <v>-1973050</v>
      </c>
      <c r="AR112" s="1"/>
      <c r="AS112" s="58"/>
      <c r="AT112" s="58"/>
      <c r="AU112" s="58"/>
      <c r="AV112" s="58"/>
      <c r="AW112" s="58"/>
      <c r="AX112" s="58"/>
      <c r="AY112" s="58"/>
      <c r="AZ112" s="58"/>
    </row>
    <row r="113" spans="1:70" s="57" customFormat="1" ht="12.75" customHeight="1" x14ac:dyDescent="0.2">
      <c r="A113" s="7"/>
      <c r="B113" s="145"/>
      <c r="C113" s="149"/>
      <c r="D113" s="254"/>
      <c r="E113" s="254"/>
      <c r="F113" s="254"/>
      <c r="G113" s="275"/>
      <c r="H113" s="275"/>
      <c r="I113" s="275"/>
      <c r="J113" s="275"/>
      <c r="K113" s="275"/>
      <c r="L113" s="275"/>
      <c r="M113" s="275"/>
      <c r="N113" s="275"/>
      <c r="O113" s="275"/>
      <c r="P113" s="275"/>
      <c r="Q113" s="275"/>
      <c r="R113" s="275"/>
      <c r="S113" s="254"/>
      <c r="T113" s="275"/>
      <c r="U113" s="319"/>
      <c r="V113" s="319"/>
      <c r="W113" s="320"/>
      <c r="X113" s="319"/>
      <c r="Y113" s="319"/>
      <c r="Z113" s="320"/>
      <c r="AA113" s="319"/>
      <c r="AB113" s="118"/>
      <c r="AC113" s="118"/>
      <c r="AD113" s="118"/>
      <c r="AE113" s="118"/>
      <c r="AF113" s="118"/>
      <c r="AG113" s="118"/>
      <c r="AH113" s="118"/>
      <c r="AI113" s="118"/>
      <c r="AJ113" s="118"/>
      <c r="AK113" s="118"/>
      <c r="AL113" s="118"/>
      <c r="AM113" s="118"/>
      <c r="AN113" s="118"/>
      <c r="AO113" s="118"/>
      <c r="AP113" s="86"/>
      <c r="AQ113" s="274"/>
      <c r="AR113" s="1"/>
      <c r="AS113" s="58"/>
      <c r="AT113" s="58"/>
      <c r="AU113" s="58"/>
      <c r="AV113" s="58"/>
      <c r="AW113" s="58"/>
      <c r="AX113" s="58"/>
      <c r="AY113" s="58"/>
      <c r="AZ113" s="58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</row>
    <row r="114" spans="1:70" s="7" customFormat="1" ht="12.75" customHeight="1" x14ac:dyDescent="0.2">
      <c r="B114" s="262" t="s">
        <v>119</v>
      </c>
      <c r="C114" s="263"/>
      <c r="D114" s="264"/>
      <c r="E114" s="264"/>
      <c r="F114" s="264"/>
      <c r="G114" s="271"/>
      <c r="H114" s="271"/>
      <c r="I114" s="271"/>
      <c r="J114" s="271"/>
      <c r="K114" s="271"/>
      <c r="L114" s="271"/>
      <c r="M114" s="271"/>
      <c r="N114" s="271"/>
      <c r="O114" s="271"/>
      <c r="P114" s="271"/>
      <c r="Q114" s="271"/>
      <c r="R114" s="271"/>
      <c r="S114" s="264"/>
      <c r="T114" s="271"/>
      <c r="U114" s="316"/>
      <c r="V114" s="316"/>
      <c r="W114" s="317"/>
      <c r="X114" s="316"/>
      <c r="Y114" s="316"/>
      <c r="Z114" s="317"/>
      <c r="AA114" s="316"/>
      <c r="AB114" s="318"/>
      <c r="AC114" s="318"/>
      <c r="AD114" s="318"/>
      <c r="AE114" s="318"/>
      <c r="AF114" s="318"/>
      <c r="AG114" s="318"/>
      <c r="AH114" s="318"/>
      <c r="AI114" s="318"/>
      <c r="AJ114" s="318"/>
      <c r="AK114" s="318"/>
      <c r="AL114" s="318"/>
      <c r="AM114" s="318"/>
      <c r="AN114" s="318"/>
      <c r="AO114" s="318"/>
      <c r="AP114" s="86"/>
      <c r="AQ114" s="274"/>
      <c r="AR114" s="1"/>
      <c r="AS114" s="58"/>
      <c r="AT114" s="58"/>
      <c r="AU114" s="58"/>
      <c r="AV114" s="58"/>
      <c r="AW114" s="58"/>
      <c r="AX114" s="58"/>
      <c r="AY114" s="58"/>
      <c r="AZ114" s="58"/>
    </row>
    <row r="115" spans="1:70" s="57" customFormat="1" ht="12.75" hidden="1" customHeight="1" x14ac:dyDescent="0.2">
      <c r="A115" s="7"/>
      <c r="B115" s="134" t="s">
        <v>250</v>
      </c>
      <c r="C115" s="135" t="s">
        <v>9</v>
      </c>
      <c r="D115" s="136">
        <v>8173</v>
      </c>
      <c r="E115" s="136">
        <v>8630</v>
      </c>
      <c r="F115" s="136">
        <v>7200</v>
      </c>
      <c r="G115" s="275">
        <f t="shared" ref="G115" si="62">SUM(I115,K115,M115:AA115)</f>
        <v>-11613</v>
      </c>
      <c r="H115" s="275">
        <v>0</v>
      </c>
      <c r="I115" s="133">
        <v>-11613</v>
      </c>
      <c r="J115" s="275"/>
      <c r="K115" s="133"/>
      <c r="L115" s="133"/>
      <c r="M115" s="275"/>
      <c r="N115" s="275"/>
      <c r="O115" s="275"/>
      <c r="P115" s="275"/>
      <c r="Q115" s="275"/>
      <c r="R115" s="275"/>
      <c r="S115" s="254"/>
      <c r="T115" s="275"/>
      <c r="U115" s="319"/>
      <c r="V115" s="319"/>
      <c r="W115" s="320"/>
      <c r="X115" s="319"/>
      <c r="Y115" s="319"/>
      <c r="Z115" s="320"/>
      <c r="AA115" s="319"/>
      <c r="AB115" s="321"/>
      <c r="AC115" s="321"/>
      <c r="AD115" s="321"/>
      <c r="AE115" s="319"/>
      <c r="AF115" s="319"/>
      <c r="AG115" s="319"/>
      <c r="AH115" s="319"/>
      <c r="AI115" s="319"/>
      <c r="AJ115" s="319"/>
      <c r="AK115" s="319"/>
      <c r="AL115" s="319"/>
      <c r="AM115" s="319"/>
      <c r="AN115" s="319"/>
      <c r="AO115" s="319"/>
      <c r="AP115" s="86"/>
      <c r="AQ115" s="274"/>
      <c r="AR115" s="1"/>
      <c r="AS115" s="58"/>
      <c r="AT115" s="58"/>
      <c r="AU115" s="58"/>
      <c r="AV115" s="58"/>
      <c r="AW115" s="58"/>
      <c r="AX115" s="58"/>
      <c r="AY115" s="58"/>
      <c r="AZ115" s="58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</row>
    <row r="116" spans="1:70" s="57" customFormat="1" ht="12.75" customHeight="1" x14ac:dyDescent="0.2">
      <c r="A116" s="7"/>
      <c r="B116" s="134"/>
      <c r="C116" s="135"/>
      <c r="D116" s="136"/>
      <c r="E116" s="136"/>
      <c r="F116" s="136"/>
      <c r="G116" s="275"/>
      <c r="H116" s="275"/>
      <c r="I116" s="133"/>
      <c r="J116" s="275"/>
      <c r="K116" s="133"/>
      <c r="L116" s="133"/>
      <c r="M116" s="275"/>
      <c r="N116" s="275"/>
      <c r="O116" s="275"/>
      <c r="P116" s="275"/>
      <c r="Q116" s="275"/>
      <c r="R116" s="275"/>
      <c r="S116" s="254"/>
      <c r="T116" s="275"/>
      <c r="U116" s="319"/>
      <c r="V116" s="319"/>
      <c r="W116" s="320"/>
      <c r="X116" s="319"/>
      <c r="Y116" s="319"/>
      <c r="Z116" s="320"/>
      <c r="AA116" s="319"/>
      <c r="AB116" s="321"/>
      <c r="AC116" s="321"/>
      <c r="AD116" s="321"/>
      <c r="AE116" s="319"/>
      <c r="AF116" s="319"/>
      <c r="AG116" s="319"/>
      <c r="AH116" s="319"/>
      <c r="AI116" s="319"/>
      <c r="AJ116" s="319"/>
      <c r="AK116" s="319"/>
      <c r="AL116" s="319"/>
      <c r="AM116" s="319"/>
      <c r="AN116" s="319"/>
      <c r="AO116" s="319"/>
      <c r="AP116" s="86"/>
      <c r="AQ116" s="274"/>
      <c r="AR116" s="1"/>
      <c r="AS116" s="58"/>
      <c r="AT116" s="58"/>
      <c r="AU116" s="58"/>
      <c r="AV116" s="58"/>
      <c r="AW116" s="58"/>
      <c r="AX116" s="58"/>
      <c r="AY116" s="58"/>
      <c r="AZ116" s="58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</row>
    <row r="117" spans="1:70" s="57" customFormat="1" ht="12.75" customHeight="1" x14ac:dyDescent="0.2">
      <c r="A117" s="7"/>
      <c r="B117" s="262" t="s">
        <v>120</v>
      </c>
      <c r="C117" s="263"/>
      <c r="D117" s="264"/>
      <c r="E117" s="264"/>
      <c r="F117" s="264"/>
      <c r="G117" s="271">
        <v>0</v>
      </c>
      <c r="H117" s="271">
        <f>SUM(H115)</f>
        <v>0</v>
      </c>
      <c r="I117" s="271">
        <f>SUM(I115)</f>
        <v>-11613</v>
      </c>
      <c r="J117" s="271">
        <f>SUM(J115)</f>
        <v>0</v>
      </c>
      <c r="K117" s="271">
        <f>SUM(K115)</f>
        <v>0</v>
      </c>
      <c r="L117" s="271">
        <f t="shared" ref="L117:AO117" si="63">SUM(L115)</f>
        <v>0</v>
      </c>
      <c r="M117" s="271">
        <f>SUM(M115)</f>
        <v>0</v>
      </c>
      <c r="N117" s="271">
        <f>SUM(N116)</f>
        <v>0</v>
      </c>
      <c r="O117" s="271">
        <f>SUM(O116)</f>
        <v>0</v>
      </c>
      <c r="P117" s="271">
        <f>SUM(P116)</f>
        <v>0</v>
      </c>
      <c r="Q117" s="271">
        <f>SUM(Q116)</f>
        <v>0</v>
      </c>
      <c r="R117" s="272">
        <v>0</v>
      </c>
      <c r="S117" s="264"/>
      <c r="T117" s="271"/>
      <c r="U117" s="316">
        <f t="shared" si="63"/>
        <v>0</v>
      </c>
      <c r="V117" s="316"/>
      <c r="W117" s="317"/>
      <c r="X117" s="316">
        <f t="shared" si="63"/>
        <v>0</v>
      </c>
      <c r="Y117" s="316"/>
      <c r="Z117" s="317"/>
      <c r="AA117" s="316">
        <f t="shared" si="63"/>
        <v>0</v>
      </c>
      <c r="AB117" s="318"/>
      <c r="AC117" s="318"/>
      <c r="AD117" s="318">
        <f t="shared" si="63"/>
        <v>0</v>
      </c>
      <c r="AE117" s="316">
        <f t="shared" si="63"/>
        <v>0</v>
      </c>
      <c r="AF117" s="316">
        <f t="shared" si="63"/>
        <v>0</v>
      </c>
      <c r="AG117" s="316">
        <f t="shared" si="63"/>
        <v>0</v>
      </c>
      <c r="AH117" s="316">
        <f t="shared" si="63"/>
        <v>0</v>
      </c>
      <c r="AI117" s="316">
        <f t="shared" si="63"/>
        <v>0</v>
      </c>
      <c r="AJ117" s="316">
        <f t="shared" si="63"/>
        <v>0</v>
      </c>
      <c r="AK117" s="316">
        <f t="shared" si="63"/>
        <v>0</v>
      </c>
      <c r="AL117" s="316">
        <f t="shared" si="63"/>
        <v>0</v>
      </c>
      <c r="AM117" s="316">
        <f t="shared" si="63"/>
        <v>0</v>
      </c>
      <c r="AN117" s="316">
        <f t="shared" si="63"/>
        <v>0</v>
      </c>
      <c r="AO117" s="316">
        <f t="shared" si="63"/>
        <v>0</v>
      </c>
      <c r="AP117" s="86"/>
      <c r="AQ117" s="274">
        <f>SUM(AQ115)</f>
        <v>0</v>
      </c>
      <c r="AR117" s="1"/>
      <c r="AS117" s="58"/>
      <c r="AT117" s="58"/>
      <c r="AU117" s="58"/>
      <c r="AV117" s="58"/>
      <c r="AW117" s="58"/>
      <c r="AX117" s="58"/>
      <c r="AY117" s="58"/>
      <c r="AZ117" s="58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</row>
    <row r="118" spans="1:70" s="57" customFormat="1" ht="12.75" customHeight="1" x14ac:dyDescent="0.2">
      <c r="A118" s="7"/>
      <c r="B118" s="262"/>
      <c r="C118" s="263"/>
      <c r="D118" s="264"/>
      <c r="E118" s="264"/>
      <c r="F118" s="264"/>
      <c r="G118" s="271"/>
      <c r="H118" s="271"/>
      <c r="I118" s="271"/>
      <c r="J118" s="271"/>
      <c r="K118" s="271"/>
      <c r="L118" s="271"/>
      <c r="M118" s="271"/>
      <c r="N118" s="271"/>
      <c r="O118" s="271"/>
      <c r="P118" s="271"/>
      <c r="Q118" s="271"/>
      <c r="R118" s="271"/>
      <c r="S118" s="264"/>
      <c r="T118" s="271"/>
      <c r="U118" s="316"/>
      <c r="V118" s="316"/>
      <c r="W118" s="317"/>
      <c r="X118" s="316"/>
      <c r="Y118" s="316"/>
      <c r="Z118" s="317"/>
      <c r="AA118" s="316"/>
      <c r="AB118" s="318"/>
      <c r="AC118" s="318"/>
      <c r="AD118" s="318"/>
      <c r="AE118" s="318"/>
      <c r="AF118" s="318"/>
      <c r="AG118" s="318"/>
      <c r="AH118" s="318"/>
      <c r="AI118" s="318"/>
      <c r="AJ118" s="318"/>
      <c r="AK118" s="318"/>
      <c r="AL118" s="318"/>
      <c r="AM118" s="318"/>
      <c r="AN118" s="318"/>
      <c r="AO118" s="318"/>
      <c r="AP118" s="86"/>
      <c r="AQ118" s="274"/>
      <c r="AR118" s="1"/>
      <c r="AS118"/>
      <c r="AT118"/>
      <c r="AU118"/>
      <c r="AV118"/>
      <c r="AW118"/>
      <c r="AX118"/>
      <c r="AY118"/>
      <c r="AZ118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</row>
    <row r="119" spans="1:70" s="57" customFormat="1" ht="12.75" customHeight="1" x14ac:dyDescent="0.2">
      <c r="A119" s="7"/>
      <c r="B119" s="243" t="s">
        <v>251</v>
      </c>
      <c r="C119" s="244"/>
      <c r="D119" s="335"/>
      <c r="E119" s="335"/>
      <c r="F119" s="335"/>
      <c r="G119" s="336">
        <f>G8+G17+G23+G41+G64+G80+G108+G117-G21-G29</f>
        <v>-9245097.1399999987</v>
      </c>
      <c r="H119" s="336">
        <f>H8+H17+H23+H41+H64+H80+H108+H117-H21-H29</f>
        <v>-1233009</v>
      </c>
      <c r="I119" s="336">
        <f>I8+I17+I23+I41+I64+I80+I108+I117-I21-I29-I67</f>
        <v>-600020</v>
      </c>
      <c r="J119" s="336">
        <f>J8+J17+J20+J41+J64+J80+J108-J68</f>
        <v>-1569455</v>
      </c>
      <c r="K119" s="336">
        <f>K8+K17+K20+K41+K64+K80+K108-K68</f>
        <v>-1105676.76</v>
      </c>
      <c r="L119" s="336">
        <f>L8+L20+L41+L64+L80+L108</f>
        <v>-948200</v>
      </c>
      <c r="M119" s="336">
        <f>M8+M20+M41+M64+M80+M108</f>
        <v>-796243.66999999993</v>
      </c>
      <c r="N119" s="336">
        <f>N8+N20+N41+N64+N80+N108+N117</f>
        <v>-5488200</v>
      </c>
      <c r="O119" s="336">
        <f>O8+O20+O41+O64+O80+O108+O117</f>
        <v>2417950</v>
      </c>
      <c r="P119" s="336">
        <f>P8+P20+P41+P64+P80+P108+P117</f>
        <v>-3070250</v>
      </c>
      <c r="Q119" s="336">
        <f>Q8+Q20+Q41+Q64+Q80+Q108+Q117</f>
        <v>-576755.71</v>
      </c>
      <c r="R119" s="337">
        <f t="shared" ref="R119:R121" si="64">Q119/P119</f>
        <v>0.1878530119697093</v>
      </c>
      <c r="S119" s="335"/>
      <c r="T119" s="338"/>
      <c r="U119" s="338">
        <f>U8+U20+U41+U64+U80+U108</f>
        <v>-1096000</v>
      </c>
      <c r="V119" s="338"/>
      <c r="W119" s="339"/>
      <c r="X119" s="338">
        <f>X8+X20+X41+X64+X80+X108</f>
        <v>-322100</v>
      </c>
      <c r="Y119" s="338"/>
      <c r="Z119" s="339"/>
      <c r="AA119" s="338">
        <f>AA8+AA20+AA41+AA64+AA80+AA108</f>
        <v>-171000</v>
      </c>
      <c r="AB119" s="340"/>
      <c r="AC119" s="340"/>
      <c r="AD119" s="340">
        <f t="shared" ref="AD119:AO119" si="65">AD8+AD20+AD41+AD64+AD80+AD108</f>
        <v>-45750</v>
      </c>
      <c r="AE119" s="338">
        <f t="shared" si="65"/>
        <v>-30500</v>
      </c>
      <c r="AF119" s="338">
        <f t="shared" si="65"/>
        <v>0</v>
      </c>
      <c r="AG119" s="338">
        <f t="shared" si="65"/>
        <v>0</v>
      </c>
      <c r="AH119" s="338">
        <f t="shared" si="65"/>
        <v>0</v>
      </c>
      <c r="AI119" s="338">
        <f t="shared" si="65"/>
        <v>0</v>
      </c>
      <c r="AJ119" s="338" t="e">
        <f t="shared" si="65"/>
        <v>#VALUE!</v>
      </c>
      <c r="AK119" s="338">
        <f t="shared" si="65"/>
        <v>-473860.05249999999</v>
      </c>
      <c r="AL119" s="338">
        <f t="shared" si="65"/>
        <v>-352273.66587500001</v>
      </c>
      <c r="AM119" s="338">
        <f t="shared" si="65"/>
        <v>-29501.404000000002</v>
      </c>
      <c r="AN119" s="338">
        <f t="shared" si="65"/>
        <v>0</v>
      </c>
      <c r="AO119" s="338">
        <f t="shared" si="65"/>
        <v>0</v>
      </c>
      <c r="AP119" s="86"/>
      <c r="AQ119" s="336">
        <f>AQ8+AQ20+AQ41+AQ64+AQ80+AQ108+AQ117</f>
        <v>-2728050</v>
      </c>
      <c r="AR119" s="1"/>
      <c r="AS119"/>
      <c r="AT119"/>
      <c r="AU119"/>
      <c r="AV119"/>
      <c r="AW119"/>
      <c r="AX119"/>
      <c r="AY119"/>
      <c r="AZ119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</row>
    <row r="120" spans="1:70" s="57" customFormat="1" ht="12.75" customHeight="1" x14ac:dyDescent="0.2">
      <c r="A120" s="7"/>
      <c r="B120" s="243" t="s">
        <v>252</v>
      </c>
      <c r="C120" s="244"/>
      <c r="D120" s="335"/>
      <c r="E120" s="335"/>
      <c r="F120" s="335"/>
      <c r="G120" s="336">
        <f>G21+G29</f>
        <v>269925.44</v>
      </c>
      <c r="H120" s="336">
        <f>H21+H29</f>
        <v>173009</v>
      </c>
      <c r="I120" s="336">
        <f>I21+I29+I67</f>
        <v>88704</v>
      </c>
      <c r="J120" s="336">
        <f>J68+J21</f>
        <v>130000</v>
      </c>
      <c r="K120" s="336">
        <f>K68+K21</f>
        <v>108786</v>
      </c>
      <c r="L120" s="336">
        <f>L16+L21+L68</f>
        <v>100000</v>
      </c>
      <c r="M120" s="336">
        <f>M16+M21+M68</f>
        <v>125759.87</v>
      </c>
      <c r="N120" s="336">
        <f>N16+N21</f>
        <v>0</v>
      </c>
      <c r="O120" s="336">
        <f>O16+O21</f>
        <v>0</v>
      </c>
      <c r="P120" s="336">
        <f>P16+P21</f>
        <v>0</v>
      </c>
      <c r="Q120" s="336">
        <f>Q16+Q21</f>
        <v>9176.07</v>
      </c>
      <c r="R120" s="337">
        <v>0</v>
      </c>
      <c r="S120" s="335"/>
      <c r="T120" s="338"/>
      <c r="U120" s="338">
        <f>U16+U21+U68</f>
        <v>0</v>
      </c>
      <c r="V120" s="338"/>
      <c r="W120" s="339"/>
      <c r="X120" s="338">
        <f>X16+X21+X68</f>
        <v>0</v>
      </c>
      <c r="Y120" s="338"/>
      <c r="Z120" s="339"/>
      <c r="AA120" s="338">
        <f>AA16+AA21+AA68</f>
        <v>0</v>
      </c>
      <c r="AB120" s="340"/>
      <c r="AC120" s="340"/>
      <c r="AD120" s="340">
        <f t="shared" ref="AD120:AO120" si="66">AD16+AD21+AD68</f>
        <v>0</v>
      </c>
      <c r="AE120" s="338">
        <f t="shared" si="66"/>
        <v>0</v>
      </c>
      <c r="AF120" s="338">
        <f t="shared" si="66"/>
        <v>0</v>
      </c>
      <c r="AG120" s="338">
        <f t="shared" si="66"/>
        <v>0</v>
      </c>
      <c r="AH120" s="338">
        <f t="shared" si="66"/>
        <v>0</v>
      </c>
      <c r="AI120" s="338">
        <f t="shared" si="66"/>
        <v>0</v>
      </c>
      <c r="AJ120" s="338" t="e">
        <f t="shared" si="66"/>
        <v>#VALUE!</v>
      </c>
      <c r="AK120" s="338">
        <f t="shared" si="66"/>
        <v>0</v>
      </c>
      <c r="AL120" s="338">
        <f t="shared" si="66"/>
        <v>0</v>
      </c>
      <c r="AM120" s="338">
        <f t="shared" si="66"/>
        <v>0</v>
      </c>
      <c r="AN120" s="338">
        <f t="shared" si="66"/>
        <v>0</v>
      </c>
      <c r="AO120" s="338">
        <f t="shared" si="66"/>
        <v>0</v>
      </c>
      <c r="AP120" s="86"/>
      <c r="AQ120" s="336">
        <f>AQ16+AQ21+AQ68</f>
        <v>10000</v>
      </c>
      <c r="AR120" s="1"/>
      <c r="AS120"/>
      <c r="AT120"/>
      <c r="AU120"/>
      <c r="AV120"/>
      <c r="AW120"/>
      <c r="AX120"/>
      <c r="AY120"/>
      <c r="AZ120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</row>
    <row r="121" spans="1:70" s="7" customFormat="1" ht="13.5" customHeight="1" x14ac:dyDescent="0.2">
      <c r="B121" s="243" t="s">
        <v>124</v>
      </c>
      <c r="C121" s="244"/>
      <c r="D121" s="335"/>
      <c r="E121" s="335"/>
      <c r="F121" s="335"/>
      <c r="G121" s="336">
        <f>G119+G120</f>
        <v>-8975171.6999999993</v>
      </c>
      <c r="H121" s="336">
        <f>H119+H120</f>
        <v>-1060000</v>
      </c>
      <c r="I121" s="336">
        <f>I119+I120</f>
        <v>-511316</v>
      </c>
      <c r="J121" s="336">
        <f>J119+J120</f>
        <v>-1439455</v>
      </c>
      <c r="K121" s="336">
        <f>K119+K120</f>
        <v>-996890.76</v>
      </c>
      <c r="L121" s="336">
        <f t="shared" ref="L121" si="67">L119+L120</f>
        <v>-848200</v>
      </c>
      <c r="M121" s="336">
        <f>M119+M120</f>
        <v>-670483.79999999993</v>
      </c>
      <c r="N121" s="336">
        <f>N119+N120</f>
        <v>-5488200</v>
      </c>
      <c r="O121" s="336">
        <f>O119+O120</f>
        <v>2417950</v>
      </c>
      <c r="P121" s="336">
        <f>P119+P120</f>
        <v>-3070250</v>
      </c>
      <c r="Q121" s="336">
        <f>Q119+Q120</f>
        <v>-567579.64</v>
      </c>
      <c r="R121" s="337">
        <f t="shared" si="64"/>
        <v>0.18486430746681867</v>
      </c>
      <c r="S121" s="335"/>
      <c r="T121" s="338"/>
      <c r="U121" s="338">
        <f t="shared" ref="U121:AO121" si="68">U119+U120</f>
        <v>-1096000</v>
      </c>
      <c r="V121" s="338"/>
      <c r="W121" s="339"/>
      <c r="X121" s="338">
        <f t="shared" si="68"/>
        <v>-322100</v>
      </c>
      <c r="Y121" s="338"/>
      <c r="Z121" s="339"/>
      <c r="AA121" s="338">
        <f t="shared" si="68"/>
        <v>-171000</v>
      </c>
      <c r="AB121" s="340"/>
      <c r="AC121" s="340"/>
      <c r="AD121" s="340">
        <f t="shared" si="68"/>
        <v>-45750</v>
      </c>
      <c r="AE121" s="338">
        <f t="shared" si="68"/>
        <v>-30500</v>
      </c>
      <c r="AF121" s="338">
        <f t="shared" si="68"/>
        <v>0</v>
      </c>
      <c r="AG121" s="338">
        <f t="shared" si="68"/>
        <v>0</v>
      </c>
      <c r="AH121" s="338">
        <f t="shared" si="68"/>
        <v>0</v>
      </c>
      <c r="AI121" s="338">
        <f t="shared" si="68"/>
        <v>0</v>
      </c>
      <c r="AJ121" s="338" t="e">
        <f t="shared" si="68"/>
        <v>#VALUE!</v>
      </c>
      <c r="AK121" s="338">
        <f t="shared" si="68"/>
        <v>-473860.05249999999</v>
      </c>
      <c r="AL121" s="338">
        <f t="shared" si="68"/>
        <v>-352273.66587500001</v>
      </c>
      <c r="AM121" s="338">
        <f t="shared" si="68"/>
        <v>-29501.404000000002</v>
      </c>
      <c r="AN121" s="338">
        <f t="shared" si="68"/>
        <v>0</v>
      </c>
      <c r="AO121" s="338">
        <f t="shared" si="68"/>
        <v>0</v>
      </c>
      <c r="AP121" s="86"/>
      <c r="AQ121" s="336">
        <f>AQ119+AQ120</f>
        <v>-2718050</v>
      </c>
      <c r="AR121" s="1"/>
    </row>
    <row r="122" spans="1:70" ht="13.5" customHeight="1" x14ac:dyDescent="0.2">
      <c r="B122" s="3"/>
      <c r="C122" s="3"/>
      <c r="D122" s="69"/>
      <c r="E122" s="69"/>
      <c r="F122" s="69"/>
      <c r="G122" s="17"/>
      <c r="H122" s="75"/>
      <c r="I122" s="75"/>
      <c r="J122" s="17"/>
      <c r="K122" s="17"/>
      <c r="L122" s="17"/>
      <c r="M122" s="75"/>
      <c r="N122" s="17"/>
      <c r="O122" s="75"/>
      <c r="P122" s="75"/>
      <c r="Q122" s="75"/>
      <c r="R122" s="75"/>
      <c r="S122" s="75"/>
      <c r="T122" s="75"/>
      <c r="U122" s="17"/>
      <c r="V122" s="17"/>
      <c r="W122" s="111"/>
      <c r="X122" s="17"/>
      <c r="Y122" s="17"/>
      <c r="Z122" s="111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7"/>
      <c r="AQ122" s="87"/>
    </row>
    <row r="123" spans="1:70" x14ac:dyDescent="0.2">
      <c r="G123" s="1"/>
      <c r="H123" s="76"/>
      <c r="J123" s="14"/>
      <c r="M123" s="63"/>
      <c r="N123" s="1"/>
      <c r="O123" s="63"/>
      <c r="P123" s="63"/>
      <c r="Q123" s="63"/>
      <c r="R123" s="63"/>
      <c r="T123" s="63"/>
      <c r="AA123" s="14"/>
      <c r="AB123" s="14"/>
      <c r="AC123" s="14"/>
      <c r="AD123" s="14"/>
      <c r="AE123" s="14"/>
      <c r="AF123" s="14"/>
      <c r="AG123" s="14"/>
      <c r="AH123" s="14"/>
      <c r="AI123" s="14"/>
    </row>
    <row r="124" spans="1:70" x14ac:dyDescent="0.2">
      <c r="G124" s="1"/>
      <c r="M124" s="63"/>
      <c r="N124" s="1"/>
      <c r="O124" s="63"/>
      <c r="P124" s="63"/>
      <c r="Q124" s="63"/>
      <c r="R124" s="63"/>
      <c r="T124" s="63"/>
    </row>
    <row r="125" spans="1:70" x14ac:dyDescent="0.2">
      <c r="G125" s="1"/>
      <c r="M125" s="63"/>
      <c r="N125" s="1"/>
      <c r="O125" s="63"/>
      <c r="P125" s="63"/>
      <c r="Q125" s="63"/>
      <c r="R125" s="63"/>
      <c r="T125" s="63"/>
    </row>
    <row r="126" spans="1:70" x14ac:dyDescent="0.2">
      <c r="G126" s="1"/>
      <c r="M126" s="63"/>
      <c r="N126" s="1"/>
      <c r="O126" s="63"/>
      <c r="P126" s="63"/>
      <c r="Q126" s="63"/>
      <c r="R126" s="63"/>
      <c r="T126" s="63"/>
    </row>
    <row r="127" spans="1:70" x14ac:dyDescent="0.2">
      <c r="G127" s="1"/>
      <c r="M127" s="63"/>
      <c r="N127" s="1"/>
      <c r="O127" s="63"/>
      <c r="P127" s="63"/>
      <c r="Q127" s="63"/>
      <c r="R127" s="63"/>
      <c r="T127" s="63"/>
    </row>
    <row r="128" spans="1:70" x14ac:dyDescent="0.2">
      <c r="G128" s="1"/>
      <c r="M128" s="63"/>
      <c r="N128" s="1"/>
      <c r="O128" s="63"/>
      <c r="P128" s="63"/>
      <c r="Q128" s="63"/>
      <c r="R128" s="63"/>
      <c r="T128" s="63"/>
    </row>
    <row r="129" spans="7:20" x14ac:dyDescent="0.2">
      <c r="G129" s="1"/>
      <c r="M129" s="63"/>
      <c r="N129" s="1"/>
      <c r="O129" s="63"/>
      <c r="P129" s="63"/>
      <c r="Q129" s="63"/>
      <c r="R129" s="63"/>
      <c r="T129" s="63"/>
    </row>
    <row r="130" spans="7:20" x14ac:dyDescent="0.2">
      <c r="G130" s="1"/>
      <c r="M130" s="63"/>
      <c r="N130" s="1"/>
      <c r="O130" s="63"/>
      <c r="P130" s="63"/>
      <c r="Q130" s="63"/>
      <c r="R130" s="63"/>
      <c r="T130" s="63"/>
    </row>
    <row r="131" spans="7:20" x14ac:dyDescent="0.2">
      <c r="G131" s="1"/>
      <c r="M131" s="63"/>
      <c r="N131" s="1"/>
      <c r="O131" s="63"/>
      <c r="P131" s="63"/>
      <c r="Q131" s="63"/>
      <c r="R131" s="63"/>
      <c r="T131" s="63"/>
    </row>
    <row r="132" spans="7:20" x14ac:dyDescent="0.2">
      <c r="G132" s="1"/>
      <c r="M132" s="63"/>
      <c r="N132" s="1"/>
      <c r="O132" s="63"/>
      <c r="P132" s="63"/>
      <c r="Q132" s="63"/>
      <c r="R132" s="63"/>
      <c r="T132" s="63"/>
    </row>
    <row r="133" spans="7:20" x14ac:dyDescent="0.2">
      <c r="G133" s="1"/>
      <c r="M133" s="63"/>
      <c r="N133" s="1"/>
      <c r="O133" s="63"/>
      <c r="P133" s="63"/>
      <c r="Q133" s="63"/>
      <c r="R133" s="63"/>
      <c r="T133" s="63"/>
    </row>
    <row r="134" spans="7:20" x14ac:dyDescent="0.2">
      <c r="G134" s="1"/>
      <c r="M134" s="63"/>
      <c r="N134" s="1"/>
      <c r="O134" s="63"/>
      <c r="P134" s="63"/>
      <c r="Q134" s="63"/>
      <c r="R134" s="63"/>
      <c r="T134" s="63"/>
    </row>
    <row r="135" spans="7:20" x14ac:dyDescent="0.2">
      <c r="G135" s="1"/>
      <c r="M135" s="63"/>
      <c r="N135" s="1"/>
      <c r="O135" s="63"/>
      <c r="P135" s="63"/>
      <c r="Q135" s="63"/>
      <c r="R135" s="63"/>
      <c r="T135" s="63"/>
    </row>
    <row r="136" spans="7:20" x14ac:dyDescent="0.2">
      <c r="G136" s="1"/>
      <c r="M136" s="63"/>
      <c r="N136" s="1"/>
      <c r="O136" s="63"/>
      <c r="P136" s="63"/>
      <c r="Q136" s="63"/>
      <c r="R136" s="63"/>
      <c r="T136" s="63"/>
    </row>
    <row r="137" spans="7:20" x14ac:dyDescent="0.2">
      <c r="G137" s="1"/>
      <c r="M137" s="63"/>
      <c r="N137" s="1"/>
      <c r="O137" s="63"/>
      <c r="P137" s="63"/>
      <c r="Q137" s="63"/>
      <c r="R137" s="63"/>
      <c r="T137" s="63"/>
    </row>
    <row r="138" spans="7:20" x14ac:dyDescent="0.2">
      <c r="G138" s="1"/>
      <c r="M138" s="63"/>
      <c r="N138" s="1"/>
      <c r="O138" s="63"/>
      <c r="P138" s="63"/>
      <c r="Q138" s="63"/>
      <c r="R138" s="63"/>
      <c r="T138" s="63"/>
    </row>
    <row r="139" spans="7:20" x14ac:dyDescent="0.2">
      <c r="G139" s="1"/>
      <c r="M139" s="63"/>
      <c r="N139" s="1"/>
      <c r="O139" s="63"/>
      <c r="P139" s="63"/>
      <c r="Q139" s="63"/>
      <c r="R139" s="63"/>
      <c r="T139" s="63"/>
    </row>
    <row r="140" spans="7:20" x14ac:dyDescent="0.2">
      <c r="G140" s="1"/>
      <c r="M140" s="63"/>
      <c r="N140" s="1"/>
      <c r="O140" s="63"/>
      <c r="P140" s="63"/>
      <c r="Q140" s="63"/>
      <c r="R140" s="63"/>
      <c r="T140" s="63"/>
    </row>
    <row r="141" spans="7:20" x14ac:dyDescent="0.2">
      <c r="G141" s="1"/>
      <c r="M141" s="63"/>
      <c r="N141" s="1"/>
      <c r="O141" s="63"/>
      <c r="P141" s="63"/>
      <c r="Q141" s="63"/>
      <c r="R141" s="63"/>
      <c r="T141" s="63"/>
    </row>
    <row r="142" spans="7:20" x14ac:dyDescent="0.2">
      <c r="G142" s="1"/>
      <c r="M142" s="63"/>
      <c r="N142" s="1"/>
      <c r="O142" s="63"/>
      <c r="P142" s="63"/>
      <c r="Q142" s="63"/>
      <c r="R142" s="63"/>
      <c r="T142" s="63"/>
    </row>
    <row r="143" spans="7:20" x14ac:dyDescent="0.2">
      <c r="G143" s="1"/>
      <c r="M143" s="63"/>
      <c r="N143" s="1"/>
      <c r="O143" s="63"/>
      <c r="P143" s="63"/>
      <c r="Q143" s="63"/>
      <c r="R143" s="63"/>
      <c r="T143" s="63"/>
    </row>
    <row r="144" spans="7:20" x14ac:dyDescent="0.2">
      <c r="G144" s="1"/>
      <c r="M144" s="63"/>
      <c r="N144" s="1"/>
      <c r="O144" s="63"/>
      <c r="P144" s="63"/>
      <c r="Q144" s="63"/>
      <c r="R144" s="63"/>
      <c r="T144" s="63"/>
    </row>
    <row r="145" spans="7:20" x14ac:dyDescent="0.2">
      <c r="G145" s="1"/>
      <c r="M145" s="63"/>
      <c r="N145" s="1"/>
      <c r="O145" s="63"/>
      <c r="P145" s="63"/>
      <c r="Q145" s="63"/>
      <c r="R145" s="63"/>
      <c r="T145" s="63"/>
    </row>
    <row r="146" spans="7:20" x14ac:dyDescent="0.2">
      <c r="G146" s="1"/>
      <c r="M146" s="63"/>
      <c r="N146" s="1"/>
      <c r="O146" s="63"/>
      <c r="P146" s="63"/>
      <c r="Q146" s="63"/>
      <c r="R146" s="63"/>
      <c r="T146" s="63"/>
    </row>
    <row r="147" spans="7:20" x14ac:dyDescent="0.2">
      <c r="G147" s="1"/>
      <c r="M147" s="63"/>
      <c r="N147" s="1"/>
      <c r="O147" s="63"/>
      <c r="P147" s="63"/>
      <c r="Q147" s="63"/>
      <c r="R147" s="63"/>
      <c r="T147" s="63"/>
    </row>
    <row r="148" spans="7:20" x14ac:dyDescent="0.2">
      <c r="G148" s="1"/>
      <c r="M148" s="63"/>
      <c r="N148" s="1"/>
      <c r="O148" s="63"/>
      <c r="P148" s="63"/>
      <c r="Q148" s="63"/>
      <c r="R148" s="63"/>
      <c r="T148" s="63"/>
    </row>
    <row r="149" spans="7:20" x14ac:dyDescent="0.2">
      <c r="G149" s="1"/>
      <c r="M149" s="63"/>
      <c r="N149" s="1"/>
      <c r="O149" s="63"/>
      <c r="P149" s="63"/>
      <c r="Q149" s="63"/>
      <c r="R149" s="63"/>
      <c r="T149" s="63"/>
    </row>
    <row r="150" spans="7:20" x14ac:dyDescent="0.2">
      <c r="G150" s="1"/>
      <c r="M150" s="63"/>
      <c r="N150" s="1"/>
      <c r="O150" s="63"/>
      <c r="P150" s="63"/>
      <c r="Q150" s="63"/>
      <c r="R150" s="63"/>
      <c r="T150" s="63"/>
    </row>
    <row r="151" spans="7:20" x14ac:dyDescent="0.2">
      <c r="G151" s="1"/>
      <c r="M151" s="63"/>
      <c r="N151" s="1"/>
      <c r="O151" s="63"/>
      <c r="P151" s="63"/>
      <c r="Q151" s="63"/>
      <c r="R151" s="63"/>
      <c r="T151" s="63"/>
    </row>
    <row r="152" spans="7:20" x14ac:dyDescent="0.2">
      <c r="G152" s="1"/>
      <c r="M152" s="63"/>
      <c r="N152" s="1"/>
      <c r="O152" s="63"/>
      <c r="P152" s="63"/>
      <c r="Q152" s="63"/>
      <c r="R152" s="63"/>
      <c r="T152" s="63"/>
    </row>
    <row r="153" spans="7:20" x14ac:dyDescent="0.2">
      <c r="G153" s="1"/>
      <c r="M153" s="63"/>
      <c r="N153" s="1"/>
      <c r="O153" s="63"/>
      <c r="P153" s="63"/>
      <c r="Q153" s="63"/>
      <c r="R153" s="63"/>
      <c r="T153" s="63"/>
    </row>
    <row r="154" spans="7:20" x14ac:dyDescent="0.2">
      <c r="G154" s="1"/>
      <c r="M154" s="63"/>
      <c r="N154" s="1"/>
      <c r="O154" s="63"/>
      <c r="P154" s="63"/>
      <c r="Q154" s="63"/>
      <c r="R154" s="63"/>
      <c r="T154" s="63"/>
    </row>
    <row r="155" spans="7:20" x14ac:dyDescent="0.2">
      <c r="G155" s="1"/>
      <c r="M155" s="63"/>
      <c r="N155" s="1"/>
      <c r="O155" s="63"/>
      <c r="P155" s="63"/>
      <c r="Q155" s="63"/>
      <c r="R155" s="63"/>
      <c r="T155" s="63"/>
    </row>
    <row r="156" spans="7:20" x14ac:dyDescent="0.2">
      <c r="G156" s="1"/>
      <c r="M156" s="63"/>
      <c r="N156" s="1"/>
      <c r="O156" s="63"/>
      <c r="P156" s="63"/>
      <c r="Q156" s="63"/>
      <c r="R156" s="63"/>
      <c r="T156" s="63"/>
    </row>
    <row r="157" spans="7:20" x14ac:dyDescent="0.2">
      <c r="G157" s="1"/>
      <c r="M157" s="63"/>
      <c r="N157" s="1"/>
      <c r="O157" s="63"/>
      <c r="P157" s="63"/>
      <c r="Q157" s="63"/>
      <c r="R157" s="63"/>
      <c r="T157" s="63"/>
    </row>
    <row r="158" spans="7:20" x14ac:dyDescent="0.2">
      <c r="G158" s="1"/>
      <c r="M158" s="63"/>
      <c r="N158" s="1"/>
      <c r="O158" s="63"/>
      <c r="P158" s="63"/>
      <c r="Q158" s="63"/>
      <c r="R158" s="63"/>
      <c r="T158" s="63"/>
    </row>
    <row r="159" spans="7:20" x14ac:dyDescent="0.2">
      <c r="G159" s="1"/>
      <c r="M159" s="63"/>
      <c r="N159" s="1"/>
      <c r="O159" s="63"/>
      <c r="P159" s="63"/>
      <c r="Q159" s="63"/>
      <c r="R159" s="63"/>
      <c r="T159" s="63"/>
    </row>
    <row r="160" spans="7:20" x14ac:dyDescent="0.2">
      <c r="G160" s="1"/>
      <c r="M160" s="63"/>
      <c r="N160" s="1"/>
      <c r="O160" s="63"/>
      <c r="P160" s="63"/>
      <c r="Q160" s="63"/>
      <c r="R160" s="63"/>
      <c r="T160" s="63"/>
    </row>
    <row r="161" spans="7:20" x14ac:dyDescent="0.2">
      <c r="G161" s="1"/>
      <c r="M161" s="63"/>
      <c r="N161" s="1"/>
      <c r="O161" s="63"/>
      <c r="P161" s="63"/>
      <c r="Q161" s="63"/>
      <c r="R161" s="63"/>
      <c r="T161" s="63"/>
    </row>
    <row r="162" spans="7:20" x14ac:dyDescent="0.2">
      <c r="G162" s="1"/>
      <c r="M162" s="63"/>
      <c r="N162" s="1"/>
      <c r="O162" s="63"/>
      <c r="P162" s="63"/>
      <c r="Q162" s="63"/>
      <c r="R162" s="63"/>
      <c r="T162" s="63"/>
    </row>
    <row r="163" spans="7:20" x14ac:dyDescent="0.2">
      <c r="G163" s="1"/>
      <c r="M163" s="63"/>
      <c r="N163" s="1"/>
      <c r="O163" s="63"/>
      <c r="P163" s="63"/>
      <c r="Q163" s="63"/>
      <c r="R163" s="63"/>
      <c r="T163" s="63"/>
    </row>
    <row r="164" spans="7:20" x14ac:dyDescent="0.2">
      <c r="G164" s="1"/>
      <c r="M164" s="63"/>
      <c r="N164" s="1"/>
      <c r="O164" s="63"/>
      <c r="P164" s="63"/>
      <c r="Q164" s="63"/>
      <c r="R164" s="63"/>
      <c r="T164" s="63"/>
    </row>
    <row r="165" spans="7:20" x14ac:dyDescent="0.2">
      <c r="G165" s="1"/>
      <c r="M165" s="63"/>
      <c r="N165" s="1"/>
      <c r="O165" s="63"/>
      <c r="P165" s="63"/>
      <c r="Q165" s="63"/>
      <c r="R165" s="63"/>
      <c r="T165" s="63"/>
    </row>
    <row r="166" spans="7:20" x14ac:dyDescent="0.2">
      <c r="G166" s="1"/>
      <c r="M166" s="63"/>
      <c r="N166" s="1"/>
      <c r="O166" s="63"/>
      <c r="P166" s="63"/>
      <c r="Q166" s="63"/>
      <c r="R166" s="63"/>
      <c r="T166" s="63"/>
    </row>
    <row r="167" spans="7:20" x14ac:dyDescent="0.2">
      <c r="G167" s="1"/>
      <c r="M167" s="63"/>
      <c r="N167" s="1"/>
      <c r="O167" s="63"/>
      <c r="P167" s="63"/>
      <c r="Q167" s="63"/>
      <c r="R167" s="63"/>
      <c r="T167" s="63"/>
    </row>
    <row r="168" spans="7:20" x14ac:dyDescent="0.2">
      <c r="G168" s="1"/>
      <c r="M168" s="63"/>
      <c r="N168" s="1"/>
      <c r="O168" s="63"/>
      <c r="P168" s="63"/>
      <c r="Q168" s="63"/>
      <c r="R168" s="63"/>
      <c r="T168" s="63"/>
    </row>
    <row r="169" spans="7:20" x14ac:dyDescent="0.2">
      <c r="G169" s="1"/>
      <c r="M169" s="63"/>
      <c r="N169" s="1"/>
      <c r="O169" s="63"/>
      <c r="P169" s="63"/>
      <c r="Q169" s="63"/>
      <c r="R169" s="63"/>
      <c r="T169" s="63"/>
    </row>
    <row r="170" spans="7:20" x14ac:dyDescent="0.2">
      <c r="G170" s="1"/>
      <c r="M170" s="63"/>
      <c r="N170" s="1"/>
      <c r="O170" s="63"/>
      <c r="P170" s="63"/>
      <c r="Q170" s="63"/>
      <c r="R170" s="63"/>
      <c r="T170" s="63"/>
    </row>
    <row r="171" spans="7:20" x14ac:dyDescent="0.2">
      <c r="G171" s="1"/>
      <c r="M171" s="63"/>
      <c r="N171" s="1"/>
      <c r="O171" s="63"/>
      <c r="P171" s="63"/>
      <c r="Q171" s="63"/>
      <c r="R171" s="63"/>
      <c r="T171" s="63"/>
    </row>
    <row r="172" spans="7:20" x14ac:dyDescent="0.2">
      <c r="G172" s="1"/>
      <c r="M172" s="63"/>
      <c r="N172" s="1"/>
      <c r="O172" s="63"/>
      <c r="P172" s="63"/>
      <c r="Q172" s="63"/>
      <c r="R172" s="63"/>
      <c r="T172" s="63"/>
    </row>
    <row r="173" spans="7:20" x14ac:dyDescent="0.2">
      <c r="G173" s="1"/>
      <c r="M173" s="63"/>
      <c r="N173" s="1"/>
      <c r="O173" s="63"/>
      <c r="P173" s="63"/>
      <c r="Q173" s="63"/>
      <c r="R173" s="63"/>
      <c r="T173" s="63"/>
    </row>
    <row r="174" spans="7:20" x14ac:dyDescent="0.2">
      <c r="G174" s="1"/>
      <c r="M174" s="63"/>
      <c r="N174" s="1"/>
      <c r="O174" s="63"/>
      <c r="P174" s="63"/>
      <c r="Q174" s="63"/>
      <c r="R174" s="63"/>
      <c r="T174" s="63"/>
    </row>
    <row r="175" spans="7:20" x14ac:dyDescent="0.2">
      <c r="G175" s="1"/>
      <c r="M175" s="63"/>
      <c r="N175" s="1"/>
      <c r="O175" s="63"/>
      <c r="P175" s="63"/>
      <c r="Q175" s="63"/>
      <c r="R175" s="63"/>
      <c r="T175" s="63"/>
    </row>
    <row r="176" spans="7:20" x14ac:dyDescent="0.2">
      <c r="G176" s="1"/>
      <c r="M176" s="63"/>
      <c r="N176" s="1"/>
      <c r="O176" s="63"/>
      <c r="P176" s="63"/>
      <c r="Q176" s="63"/>
      <c r="R176" s="63"/>
      <c r="T176" s="63"/>
    </row>
    <row r="177" spans="7:20" x14ac:dyDescent="0.2">
      <c r="G177" s="1"/>
      <c r="M177" s="63"/>
      <c r="N177" s="1"/>
      <c r="O177" s="63"/>
      <c r="P177" s="63"/>
      <c r="Q177" s="63"/>
      <c r="R177" s="63"/>
      <c r="T177" s="63"/>
    </row>
    <row r="178" spans="7:20" x14ac:dyDescent="0.2">
      <c r="G178" s="1"/>
      <c r="M178" s="63"/>
      <c r="N178" s="1"/>
      <c r="O178" s="63"/>
      <c r="P178" s="63"/>
      <c r="Q178" s="63"/>
      <c r="R178" s="63"/>
      <c r="T178" s="63"/>
    </row>
    <row r="179" spans="7:20" x14ac:dyDescent="0.2">
      <c r="G179" s="1"/>
      <c r="M179" s="63"/>
      <c r="N179" s="1"/>
      <c r="O179" s="63"/>
      <c r="P179" s="63"/>
      <c r="Q179" s="63"/>
      <c r="R179" s="63"/>
      <c r="T179" s="63"/>
    </row>
    <row r="180" spans="7:20" x14ac:dyDescent="0.2">
      <c r="G180" s="1"/>
      <c r="M180" s="63"/>
      <c r="N180" s="1"/>
      <c r="O180" s="63"/>
      <c r="P180" s="63"/>
      <c r="Q180" s="63"/>
      <c r="R180" s="63"/>
      <c r="T180" s="63"/>
    </row>
    <row r="181" spans="7:20" x14ac:dyDescent="0.2">
      <c r="G181" s="1"/>
      <c r="M181" s="63"/>
      <c r="N181" s="1"/>
      <c r="O181" s="63"/>
      <c r="P181" s="63"/>
      <c r="Q181" s="63"/>
      <c r="R181" s="63"/>
      <c r="T181" s="63"/>
    </row>
    <row r="182" spans="7:20" x14ac:dyDescent="0.2">
      <c r="G182" s="1"/>
      <c r="M182" s="63"/>
      <c r="N182" s="1"/>
      <c r="O182" s="63"/>
      <c r="P182" s="63"/>
      <c r="Q182" s="63"/>
      <c r="R182" s="63"/>
      <c r="T182" s="63"/>
    </row>
    <row r="183" spans="7:20" x14ac:dyDescent="0.2">
      <c r="G183" s="1"/>
      <c r="M183" s="63"/>
      <c r="N183" s="1"/>
      <c r="O183" s="63"/>
      <c r="P183" s="63"/>
      <c r="Q183" s="63"/>
      <c r="R183" s="63"/>
      <c r="T183" s="63"/>
    </row>
    <row r="184" spans="7:20" x14ac:dyDescent="0.2">
      <c r="G184" s="1"/>
      <c r="M184" s="63"/>
      <c r="N184" s="1"/>
      <c r="O184" s="63"/>
      <c r="P184" s="63"/>
      <c r="Q184" s="63"/>
      <c r="R184" s="63"/>
      <c r="T184" s="63"/>
    </row>
    <row r="185" spans="7:20" x14ac:dyDescent="0.2">
      <c r="G185" s="1"/>
      <c r="M185" s="63"/>
      <c r="N185" s="1"/>
      <c r="O185" s="63"/>
      <c r="P185" s="63"/>
      <c r="Q185" s="63"/>
      <c r="R185" s="63"/>
      <c r="T185" s="63"/>
    </row>
    <row r="186" spans="7:20" x14ac:dyDescent="0.2">
      <c r="G186" s="1"/>
      <c r="M186" s="63"/>
      <c r="N186" s="1"/>
      <c r="O186" s="63"/>
      <c r="P186" s="63"/>
      <c r="Q186" s="63"/>
      <c r="R186" s="63"/>
      <c r="T186" s="63"/>
    </row>
    <row r="187" spans="7:20" x14ac:dyDescent="0.2">
      <c r="G187" s="1"/>
      <c r="M187" s="63"/>
      <c r="N187" s="1"/>
      <c r="O187" s="63"/>
      <c r="P187" s="63"/>
      <c r="Q187" s="63"/>
      <c r="R187" s="63"/>
      <c r="T187" s="63"/>
    </row>
    <row r="188" spans="7:20" x14ac:dyDescent="0.2">
      <c r="G188" s="1"/>
      <c r="M188" s="63"/>
      <c r="N188" s="1"/>
      <c r="O188" s="63"/>
      <c r="P188" s="63"/>
      <c r="Q188" s="63"/>
      <c r="R188" s="63"/>
      <c r="T188" s="63"/>
    </row>
    <row r="189" spans="7:20" x14ac:dyDescent="0.2">
      <c r="G189" s="1"/>
      <c r="M189" s="63"/>
      <c r="N189" s="1"/>
      <c r="O189" s="63"/>
      <c r="P189" s="63"/>
      <c r="Q189" s="63"/>
      <c r="R189" s="63"/>
      <c r="T189" s="63"/>
    </row>
    <row r="190" spans="7:20" x14ac:dyDescent="0.2">
      <c r="G190" s="1"/>
      <c r="M190" s="63"/>
      <c r="N190" s="1"/>
      <c r="O190" s="63"/>
      <c r="P190" s="63"/>
      <c r="Q190" s="63"/>
      <c r="R190" s="63"/>
      <c r="T190" s="63"/>
    </row>
    <row r="191" spans="7:20" x14ac:dyDescent="0.2">
      <c r="G191" s="1"/>
      <c r="M191" s="63"/>
      <c r="N191" s="1"/>
      <c r="O191" s="63"/>
      <c r="P191" s="63"/>
      <c r="Q191" s="63"/>
      <c r="R191" s="63"/>
      <c r="T191" s="63"/>
    </row>
    <row r="192" spans="7:20" x14ac:dyDescent="0.2">
      <c r="G192" s="1"/>
      <c r="M192" s="63"/>
      <c r="N192" s="1"/>
      <c r="O192" s="63"/>
      <c r="P192" s="63"/>
      <c r="Q192" s="63"/>
      <c r="R192" s="63"/>
      <c r="T192" s="63"/>
    </row>
    <row r="193" spans="7:20" x14ac:dyDescent="0.2">
      <c r="G193" s="1"/>
      <c r="M193" s="63"/>
      <c r="N193" s="1"/>
      <c r="O193" s="63"/>
      <c r="P193" s="63"/>
      <c r="Q193" s="63"/>
      <c r="R193" s="63"/>
      <c r="T193" s="63"/>
    </row>
    <row r="194" spans="7:20" x14ac:dyDescent="0.2">
      <c r="G194" s="1"/>
      <c r="M194" s="63"/>
      <c r="N194" s="1"/>
      <c r="O194" s="63"/>
      <c r="P194" s="63"/>
      <c r="Q194" s="63"/>
      <c r="R194" s="63"/>
      <c r="T194" s="63"/>
    </row>
    <row r="195" spans="7:20" x14ac:dyDescent="0.2">
      <c r="G195" s="1"/>
      <c r="M195" s="63"/>
      <c r="N195" s="1"/>
      <c r="O195" s="63"/>
      <c r="P195" s="63"/>
      <c r="Q195" s="63"/>
      <c r="R195" s="63"/>
      <c r="T195" s="63"/>
    </row>
    <row r="196" spans="7:20" x14ac:dyDescent="0.2">
      <c r="G196" s="1"/>
      <c r="M196" s="63"/>
      <c r="N196" s="1"/>
      <c r="O196" s="63"/>
      <c r="P196" s="63"/>
      <c r="Q196" s="63"/>
      <c r="R196" s="63"/>
      <c r="T196" s="63"/>
    </row>
    <row r="197" spans="7:20" x14ac:dyDescent="0.2">
      <c r="G197" s="1"/>
      <c r="M197" s="63"/>
      <c r="N197" s="1"/>
      <c r="O197" s="63"/>
      <c r="P197" s="63"/>
      <c r="Q197" s="63"/>
      <c r="R197" s="63"/>
      <c r="T197" s="63"/>
    </row>
    <row r="198" spans="7:20" x14ac:dyDescent="0.2">
      <c r="G198" s="1"/>
      <c r="M198" s="63"/>
      <c r="N198" s="1"/>
      <c r="O198" s="63"/>
      <c r="P198" s="63"/>
      <c r="Q198" s="63"/>
      <c r="R198" s="63"/>
      <c r="T198" s="63"/>
    </row>
    <row r="199" spans="7:20" x14ac:dyDescent="0.2">
      <c r="G199" s="1"/>
      <c r="M199" s="63"/>
      <c r="N199" s="1"/>
      <c r="O199" s="63"/>
      <c r="P199" s="63"/>
      <c r="Q199" s="63"/>
      <c r="R199" s="63"/>
      <c r="T199" s="63"/>
    </row>
    <row r="200" spans="7:20" x14ac:dyDescent="0.2">
      <c r="G200" s="1"/>
      <c r="M200" s="63"/>
      <c r="N200" s="1"/>
      <c r="O200" s="63"/>
      <c r="P200" s="63"/>
      <c r="Q200" s="63"/>
      <c r="R200" s="63"/>
      <c r="T200" s="63"/>
    </row>
    <row r="201" spans="7:20" x14ac:dyDescent="0.2">
      <c r="G201" s="1"/>
      <c r="M201" s="63"/>
      <c r="N201" s="1"/>
      <c r="O201" s="63"/>
      <c r="P201" s="63"/>
      <c r="Q201" s="63"/>
      <c r="R201" s="63"/>
      <c r="T201" s="63"/>
    </row>
    <row r="202" spans="7:20" x14ac:dyDescent="0.2">
      <c r="G202" s="1"/>
      <c r="M202" s="63"/>
      <c r="N202" s="1"/>
      <c r="O202" s="63"/>
      <c r="P202" s="63"/>
      <c r="Q202" s="63"/>
      <c r="R202" s="63"/>
      <c r="T202" s="63"/>
    </row>
    <row r="203" spans="7:20" x14ac:dyDescent="0.2">
      <c r="G203" s="1"/>
      <c r="M203" s="63"/>
      <c r="N203" s="1"/>
      <c r="O203" s="63"/>
      <c r="P203" s="63"/>
      <c r="Q203" s="63"/>
      <c r="R203" s="63"/>
      <c r="T203" s="63"/>
    </row>
    <row r="204" spans="7:20" x14ac:dyDescent="0.2">
      <c r="G204" s="1"/>
      <c r="M204" s="63"/>
      <c r="N204" s="1"/>
      <c r="O204" s="63"/>
      <c r="P204" s="63"/>
      <c r="Q204" s="63"/>
      <c r="R204" s="63"/>
      <c r="T204" s="63"/>
    </row>
    <row r="205" spans="7:20" x14ac:dyDescent="0.2">
      <c r="G205" s="1"/>
      <c r="M205" s="63"/>
      <c r="N205" s="1"/>
      <c r="O205" s="63"/>
      <c r="P205" s="63"/>
      <c r="Q205" s="63"/>
      <c r="R205" s="63"/>
      <c r="T205" s="63"/>
    </row>
    <row r="206" spans="7:20" x14ac:dyDescent="0.2">
      <c r="G206" s="1"/>
      <c r="M206" s="63"/>
      <c r="N206" s="1"/>
      <c r="O206" s="63"/>
      <c r="P206" s="63"/>
      <c r="Q206" s="63"/>
      <c r="R206" s="63"/>
      <c r="T206" s="63"/>
    </row>
    <row r="207" spans="7:20" x14ac:dyDescent="0.2">
      <c r="G207" s="1"/>
      <c r="M207" s="63"/>
      <c r="N207" s="1"/>
      <c r="O207" s="63"/>
      <c r="P207" s="63"/>
      <c r="Q207" s="63"/>
      <c r="R207" s="63"/>
      <c r="T207" s="63"/>
    </row>
    <row r="208" spans="7:20" x14ac:dyDescent="0.2">
      <c r="G208" s="1"/>
      <c r="M208" s="63"/>
      <c r="N208" s="1"/>
      <c r="O208" s="63"/>
      <c r="P208" s="63"/>
      <c r="Q208" s="63"/>
      <c r="R208" s="63"/>
      <c r="T208" s="63"/>
    </row>
    <row r="209" spans="7:20" x14ac:dyDescent="0.2">
      <c r="G209" s="1"/>
      <c r="M209" s="63"/>
      <c r="N209" s="1"/>
      <c r="O209" s="63"/>
      <c r="P209" s="63"/>
      <c r="Q209" s="63"/>
      <c r="R209" s="63"/>
      <c r="T209" s="63"/>
    </row>
    <row r="210" spans="7:20" x14ac:dyDescent="0.2">
      <c r="G210" s="1"/>
      <c r="M210" s="63"/>
      <c r="N210" s="1"/>
      <c r="O210" s="63"/>
      <c r="P210" s="63"/>
      <c r="Q210" s="63"/>
      <c r="R210" s="63"/>
      <c r="T210" s="63"/>
    </row>
    <row r="211" spans="7:20" x14ac:dyDescent="0.2">
      <c r="G211" s="1"/>
      <c r="M211" s="63"/>
      <c r="N211" s="1"/>
      <c r="O211" s="63"/>
      <c r="P211" s="63"/>
      <c r="Q211" s="63"/>
      <c r="R211" s="63"/>
      <c r="T211" s="63"/>
    </row>
    <row r="212" spans="7:20" x14ac:dyDescent="0.2">
      <c r="G212" s="1"/>
      <c r="M212" s="63"/>
      <c r="N212" s="1"/>
      <c r="O212" s="63"/>
      <c r="P212" s="63"/>
      <c r="Q212" s="63"/>
      <c r="R212" s="63"/>
      <c r="T212" s="63"/>
    </row>
    <row r="213" spans="7:20" x14ac:dyDescent="0.2">
      <c r="G213" s="1"/>
      <c r="M213" s="63"/>
      <c r="N213" s="1"/>
      <c r="O213" s="63"/>
      <c r="P213" s="63"/>
      <c r="Q213" s="63"/>
      <c r="R213" s="63"/>
      <c r="T213" s="63"/>
    </row>
    <row r="214" spans="7:20" x14ac:dyDescent="0.2">
      <c r="G214" s="1"/>
      <c r="M214" s="63"/>
      <c r="N214" s="1"/>
      <c r="O214" s="63"/>
      <c r="P214" s="63"/>
      <c r="Q214" s="63"/>
      <c r="R214" s="63"/>
      <c r="T214" s="63"/>
    </row>
    <row r="215" spans="7:20" x14ac:dyDescent="0.2">
      <c r="G215" s="1"/>
      <c r="M215" s="63"/>
      <c r="N215" s="1"/>
      <c r="O215" s="63"/>
      <c r="P215" s="63"/>
      <c r="Q215" s="63"/>
      <c r="R215" s="63"/>
      <c r="T215" s="63"/>
    </row>
    <row r="216" spans="7:20" x14ac:dyDescent="0.2">
      <c r="G216" s="1"/>
      <c r="M216" s="63"/>
      <c r="N216" s="1"/>
      <c r="O216" s="63"/>
      <c r="P216" s="63"/>
      <c r="Q216" s="63"/>
      <c r="R216" s="63"/>
      <c r="T216" s="63"/>
    </row>
    <row r="217" spans="7:20" x14ac:dyDescent="0.2">
      <c r="G217" s="1"/>
      <c r="M217" s="63"/>
      <c r="N217" s="1"/>
      <c r="O217" s="63"/>
      <c r="P217" s="63"/>
      <c r="Q217" s="63"/>
      <c r="R217" s="63"/>
      <c r="T217" s="63"/>
    </row>
    <row r="218" spans="7:20" x14ac:dyDescent="0.2">
      <c r="G218" s="1"/>
      <c r="M218" s="63"/>
      <c r="N218" s="1"/>
      <c r="O218" s="63"/>
      <c r="P218" s="63"/>
      <c r="Q218" s="63"/>
      <c r="R218" s="63"/>
      <c r="T218" s="63"/>
    </row>
    <row r="219" spans="7:20" x14ac:dyDescent="0.2">
      <c r="G219" s="1"/>
      <c r="M219" s="63"/>
      <c r="N219" s="1"/>
      <c r="O219" s="63"/>
      <c r="P219" s="63"/>
      <c r="Q219" s="63"/>
      <c r="R219" s="63"/>
      <c r="T219" s="63"/>
    </row>
    <row r="220" spans="7:20" x14ac:dyDescent="0.2">
      <c r="G220" s="1"/>
      <c r="M220" s="63"/>
      <c r="N220" s="1"/>
      <c r="O220" s="63"/>
      <c r="P220" s="63"/>
      <c r="Q220" s="63"/>
      <c r="R220" s="63"/>
      <c r="T220" s="63"/>
    </row>
    <row r="221" spans="7:20" x14ac:dyDescent="0.2">
      <c r="G221" s="1"/>
      <c r="M221" s="63"/>
      <c r="N221" s="1"/>
      <c r="O221" s="63"/>
      <c r="P221" s="63"/>
      <c r="Q221" s="63"/>
      <c r="R221" s="63"/>
      <c r="T221" s="63"/>
    </row>
    <row r="222" spans="7:20" x14ac:dyDescent="0.2">
      <c r="G222" s="1"/>
      <c r="M222" s="63"/>
      <c r="N222" s="1"/>
      <c r="O222" s="63"/>
      <c r="P222" s="63"/>
      <c r="Q222" s="63"/>
      <c r="R222" s="63"/>
      <c r="T222" s="63"/>
    </row>
    <row r="223" spans="7:20" x14ac:dyDescent="0.2">
      <c r="G223" s="1"/>
      <c r="M223" s="63"/>
      <c r="N223" s="1"/>
      <c r="O223" s="63"/>
      <c r="P223" s="63"/>
      <c r="Q223" s="63"/>
      <c r="R223" s="63"/>
      <c r="T223" s="63"/>
    </row>
    <row r="224" spans="7:20" x14ac:dyDescent="0.2">
      <c r="G224" s="1"/>
      <c r="M224" s="63"/>
      <c r="N224" s="1"/>
      <c r="O224" s="63"/>
      <c r="P224" s="63"/>
      <c r="Q224" s="63"/>
      <c r="R224" s="63"/>
      <c r="T224" s="63"/>
    </row>
    <row r="225" spans="7:20" x14ac:dyDescent="0.2">
      <c r="G225" s="1"/>
      <c r="M225" s="63"/>
      <c r="N225" s="1"/>
      <c r="O225" s="63"/>
      <c r="P225" s="63"/>
      <c r="Q225" s="63"/>
      <c r="R225" s="63"/>
      <c r="T225" s="63"/>
    </row>
    <row r="226" spans="7:20" x14ac:dyDescent="0.2">
      <c r="G226" s="1"/>
      <c r="M226" s="63"/>
      <c r="N226" s="1"/>
      <c r="O226" s="63"/>
      <c r="P226" s="63"/>
      <c r="Q226" s="63"/>
      <c r="R226" s="63"/>
      <c r="T226" s="63"/>
    </row>
    <row r="227" spans="7:20" x14ac:dyDescent="0.2">
      <c r="G227" s="1"/>
      <c r="M227" s="63"/>
      <c r="N227" s="1"/>
      <c r="O227" s="63"/>
      <c r="P227" s="63"/>
      <c r="Q227" s="63"/>
      <c r="R227" s="63"/>
      <c r="T227" s="63"/>
    </row>
    <row r="228" spans="7:20" x14ac:dyDescent="0.2">
      <c r="G228" s="1"/>
      <c r="M228" s="63"/>
      <c r="N228" s="1"/>
      <c r="O228" s="63"/>
      <c r="P228" s="63"/>
      <c r="Q228" s="63"/>
      <c r="R228" s="63"/>
      <c r="T228" s="63"/>
    </row>
    <row r="229" spans="7:20" x14ac:dyDescent="0.2">
      <c r="G229" s="1"/>
      <c r="M229" s="63"/>
      <c r="N229" s="1"/>
      <c r="O229" s="63"/>
      <c r="P229" s="63"/>
      <c r="Q229" s="63"/>
      <c r="R229" s="63"/>
      <c r="T229" s="63"/>
    </row>
    <row r="230" spans="7:20" x14ac:dyDescent="0.2">
      <c r="G230" s="1"/>
      <c r="M230" s="63"/>
      <c r="N230" s="1"/>
      <c r="O230" s="63"/>
      <c r="P230" s="63"/>
      <c r="Q230" s="63"/>
      <c r="R230" s="63"/>
      <c r="T230" s="63"/>
    </row>
    <row r="231" spans="7:20" x14ac:dyDescent="0.2">
      <c r="G231" s="1"/>
      <c r="M231" s="63"/>
      <c r="N231" s="1"/>
      <c r="O231" s="63"/>
      <c r="P231" s="63"/>
      <c r="Q231" s="63"/>
      <c r="R231" s="63"/>
      <c r="T231" s="63"/>
    </row>
    <row r="232" spans="7:20" x14ac:dyDescent="0.2">
      <c r="G232" s="1"/>
      <c r="M232" s="63"/>
      <c r="N232" s="1"/>
      <c r="O232" s="63"/>
      <c r="P232" s="63"/>
      <c r="Q232" s="63"/>
      <c r="R232" s="63"/>
      <c r="T232" s="63"/>
    </row>
    <row r="233" spans="7:20" x14ac:dyDescent="0.2">
      <c r="G233" s="1"/>
      <c r="M233" s="63"/>
      <c r="N233" s="1"/>
      <c r="O233" s="63"/>
      <c r="P233" s="63"/>
      <c r="Q233" s="63"/>
      <c r="R233" s="63"/>
      <c r="T233" s="63"/>
    </row>
    <row r="234" spans="7:20" x14ac:dyDescent="0.2">
      <c r="G234" s="1"/>
      <c r="M234" s="63"/>
      <c r="N234" s="1"/>
      <c r="O234" s="63"/>
      <c r="P234" s="63"/>
      <c r="Q234" s="63"/>
      <c r="R234" s="63"/>
      <c r="T234" s="63"/>
    </row>
    <row r="235" spans="7:20" x14ac:dyDescent="0.2">
      <c r="G235" s="1"/>
      <c r="M235" s="63"/>
      <c r="N235" s="1"/>
      <c r="O235" s="63"/>
      <c r="P235" s="63"/>
      <c r="Q235" s="63"/>
      <c r="R235" s="63"/>
      <c r="T235" s="63"/>
    </row>
    <row r="236" spans="7:20" x14ac:dyDescent="0.2">
      <c r="G236" s="1"/>
      <c r="M236" s="63"/>
      <c r="N236" s="1"/>
      <c r="O236" s="63"/>
      <c r="P236" s="63"/>
      <c r="Q236" s="63"/>
      <c r="R236" s="63"/>
      <c r="T236" s="63"/>
    </row>
    <row r="237" spans="7:20" x14ac:dyDescent="0.2">
      <c r="G237" s="1"/>
      <c r="M237" s="63"/>
      <c r="N237" s="1"/>
      <c r="O237" s="63"/>
      <c r="P237" s="63"/>
      <c r="Q237" s="63"/>
      <c r="R237" s="63"/>
      <c r="T237" s="63"/>
    </row>
    <row r="238" spans="7:20" x14ac:dyDescent="0.2">
      <c r="G238" s="1"/>
      <c r="M238" s="63"/>
      <c r="N238" s="1"/>
      <c r="O238" s="63"/>
      <c r="P238" s="63"/>
      <c r="Q238" s="63"/>
      <c r="R238" s="63"/>
      <c r="T238" s="63"/>
    </row>
    <row r="239" spans="7:20" x14ac:dyDescent="0.2">
      <c r="G239" s="1"/>
      <c r="M239" s="63"/>
      <c r="N239" s="1"/>
      <c r="O239" s="63"/>
      <c r="P239" s="63"/>
      <c r="Q239" s="63"/>
      <c r="R239" s="63"/>
      <c r="T239" s="63"/>
    </row>
    <row r="240" spans="7:20" x14ac:dyDescent="0.2">
      <c r="G240" s="1"/>
      <c r="M240" s="63"/>
      <c r="N240" s="1"/>
      <c r="O240" s="63"/>
      <c r="P240" s="63"/>
      <c r="Q240" s="63"/>
      <c r="R240" s="63"/>
      <c r="T240" s="63"/>
    </row>
    <row r="241" spans="7:20" x14ac:dyDescent="0.2">
      <c r="G241" s="1"/>
      <c r="M241" s="63"/>
      <c r="N241" s="1"/>
      <c r="O241" s="63"/>
      <c r="P241" s="63"/>
      <c r="Q241" s="63"/>
      <c r="R241" s="63"/>
      <c r="T241" s="63"/>
    </row>
    <row r="242" spans="7:20" x14ac:dyDescent="0.2">
      <c r="G242" s="1"/>
      <c r="M242" s="63"/>
      <c r="N242" s="1"/>
      <c r="O242" s="63"/>
      <c r="P242" s="63"/>
      <c r="Q242" s="63"/>
      <c r="R242" s="63"/>
      <c r="T242" s="63"/>
    </row>
    <row r="243" spans="7:20" x14ac:dyDescent="0.2">
      <c r="G243" s="1"/>
      <c r="M243" s="63"/>
      <c r="N243" s="1"/>
      <c r="O243" s="63"/>
      <c r="P243" s="63"/>
      <c r="Q243" s="63"/>
      <c r="R243" s="63"/>
      <c r="T243" s="63"/>
    </row>
    <row r="244" spans="7:20" x14ac:dyDescent="0.2">
      <c r="G244" s="1"/>
      <c r="M244" s="63"/>
      <c r="N244" s="1"/>
      <c r="O244" s="63"/>
      <c r="P244" s="63"/>
      <c r="Q244" s="63"/>
      <c r="R244" s="63"/>
      <c r="T244" s="63"/>
    </row>
    <row r="245" spans="7:20" x14ac:dyDescent="0.2">
      <c r="G245" s="1"/>
      <c r="M245" s="63"/>
      <c r="N245" s="1"/>
      <c r="O245" s="63"/>
      <c r="P245" s="63"/>
      <c r="Q245" s="63"/>
      <c r="R245" s="63"/>
      <c r="T245" s="63"/>
    </row>
    <row r="246" spans="7:20" x14ac:dyDescent="0.2">
      <c r="G246" s="1"/>
      <c r="M246" s="63"/>
      <c r="N246" s="1"/>
      <c r="O246" s="63"/>
      <c r="P246" s="63"/>
      <c r="Q246" s="63"/>
      <c r="R246" s="63"/>
      <c r="T246" s="63"/>
    </row>
    <row r="247" spans="7:20" x14ac:dyDescent="0.2">
      <c r="G247" s="1"/>
      <c r="M247" s="63"/>
      <c r="N247" s="1"/>
      <c r="O247" s="63"/>
      <c r="P247" s="63"/>
      <c r="Q247" s="63"/>
      <c r="R247" s="63"/>
      <c r="T247" s="63"/>
    </row>
    <row r="248" spans="7:20" x14ac:dyDescent="0.2">
      <c r="G248" s="1"/>
      <c r="M248" s="63"/>
      <c r="N248" s="1"/>
      <c r="O248" s="63"/>
      <c r="P248" s="63"/>
      <c r="Q248" s="63"/>
      <c r="R248" s="63"/>
      <c r="T248" s="63"/>
    </row>
    <row r="249" spans="7:20" x14ac:dyDescent="0.2">
      <c r="G249" s="1"/>
      <c r="M249" s="63"/>
      <c r="N249" s="1"/>
      <c r="O249" s="63"/>
      <c r="P249" s="63"/>
      <c r="Q249" s="63"/>
      <c r="R249" s="63"/>
      <c r="T249" s="63"/>
    </row>
    <row r="250" spans="7:20" x14ac:dyDescent="0.2">
      <c r="G250" s="1"/>
      <c r="M250" s="63"/>
      <c r="N250" s="1"/>
      <c r="O250" s="63"/>
      <c r="P250" s="63"/>
      <c r="Q250" s="63"/>
      <c r="R250" s="63"/>
      <c r="T250" s="63"/>
    </row>
  </sheetData>
  <mergeCells count="1">
    <mergeCell ref="AJ2:AN2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123FF-2447-4C83-A725-F4E3B940540F}">
  <dimension ref="A2:BT263"/>
  <sheetViews>
    <sheetView tabSelected="1" zoomScaleNormal="100" workbookViewId="0"/>
  </sheetViews>
  <sheetFormatPr defaultColWidth="9.140625" defaultRowHeight="12" x14ac:dyDescent="0.2"/>
  <cols>
    <col min="1" max="1" width="3.5703125" style="1" customWidth="1"/>
    <col min="2" max="2" width="47.28515625" style="1" customWidth="1"/>
    <col min="3" max="3" width="16.85546875" style="1" hidden="1" customWidth="1"/>
    <col min="4" max="4" width="10.7109375" style="70" customWidth="1"/>
    <col min="5" max="6" width="16.85546875" style="70" customWidth="1"/>
    <col min="7" max="7" width="10.7109375" style="27" customWidth="1"/>
    <col min="8" max="9" width="10.140625" style="63" hidden="1" customWidth="1"/>
    <col min="10" max="12" width="10.140625" style="1" hidden="1" customWidth="1"/>
    <col min="13" max="13" width="10.7109375" style="102" customWidth="1"/>
    <col min="14" max="14" width="10.7109375" style="27" customWidth="1"/>
    <col min="15" max="18" width="10.7109375" style="102" customWidth="1"/>
    <col min="19" max="19" width="11.7109375" style="63" customWidth="1"/>
    <col min="20" max="20" width="11.7109375" style="102" customWidth="1"/>
    <col min="21" max="21" width="10.7109375" style="1" customWidth="1"/>
    <col min="22" max="22" width="11.7109375" style="1" customWidth="1"/>
    <col min="23" max="23" width="11.7109375" style="112" customWidth="1"/>
    <col min="24" max="24" width="10.7109375" style="1" customWidth="1"/>
    <col min="25" max="25" width="11.7109375" style="1" customWidth="1"/>
    <col min="26" max="26" width="11.7109375" style="112" customWidth="1"/>
    <col min="27" max="27" width="10.7109375" style="1" customWidth="1"/>
    <col min="28" max="29" width="11.7109375" style="1" customWidth="1"/>
    <col min="30" max="35" width="12.140625" style="1" hidden="1" customWidth="1"/>
    <col min="36" max="36" width="16.42578125" style="1" hidden="1" customWidth="1"/>
    <col min="37" max="41" width="12.140625" style="1" hidden="1" customWidth="1"/>
    <col min="42" max="42" width="9.140625" style="1" customWidth="1"/>
    <col min="43" max="43" width="18.5703125" style="63" customWidth="1"/>
    <col min="44" max="16384" width="9.140625" style="1"/>
  </cols>
  <sheetData>
    <row r="2" spans="1:72" s="27" customFormat="1" ht="15" customHeight="1" x14ac:dyDescent="0.2">
      <c r="A2" s="1"/>
      <c r="B2" s="243" t="s">
        <v>132</v>
      </c>
      <c r="C2" s="244"/>
      <c r="D2" s="245"/>
      <c r="E2" s="245"/>
      <c r="F2" s="245"/>
      <c r="G2" s="246" t="s">
        <v>133</v>
      </c>
      <c r="H2" s="247" t="s">
        <v>133</v>
      </c>
      <c r="I2" s="247" t="s">
        <v>134</v>
      </c>
      <c r="J2" s="247" t="s">
        <v>133</v>
      </c>
      <c r="K2" s="247" t="s">
        <v>134</v>
      </c>
      <c r="L2" s="247" t="s">
        <v>133</v>
      </c>
      <c r="M2" s="246" t="s">
        <v>134</v>
      </c>
      <c r="N2" s="246" t="s">
        <v>133</v>
      </c>
      <c r="O2" s="341"/>
      <c r="P2" s="341"/>
      <c r="Q2" s="246" t="s">
        <v>134</v>
      </c>
      <c r="R2" s="341"/>
      <c r="S2" s="341"/>
      <c r="T2" s="341"/>
      <c r="U2" s="246" t="s">
        <v>133</v>
      </c>
      <c r="V2" s="246"/>
      <c r="W2" s="248"/>
      <c r="X2" s="246" t="s">
        <v>133</v>
      </c>
      <c r="Y2" s="246"/>
      <c r="Z2" s="248"/>
      <c r="AA2" s="247" t="s">
        <v>133</v>
      </c>
      <c r="AB2" s="247"/>
      <c r="AC2" s="247"/>
      <c r="AD2" s="249" t="s">
        <v>133</v>
      </c>
      <c r="AE2" s="249" t="s">
        <v>133</v>
      </c>
      <c r="AF2" s="249" t="s">
        <v>133</v>
      </c>
      <c r="AG2" s="249" t="s">
        <v>133</v>
      </c>
      <c r="AH2" s="249" t="s">
        <v>133</v>
      </c>
      <c r="AI2" s="249" t="s">
        <v>133</v>
      </c>
      <c r="AJ2" s="425" t="s">
        <v>135</v>
      </c>
      <c r="AK2" s="426"/>
      <c r="AL2" s="426"/>
      <c r="AM2" s="426"/>
      <c r="AN2" s="427"/>
      <c r="AO2" s="342" t="s">
        <v>133</v>
      </c>
      <c r="AP2" s="1"/>
      <c r="AQ2" s="247" t="s">
        <v>133</v>
      </c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s="27" customFormat="1" ht="39" customHeight="1" x14ac:dyDescent="0.2">
      <c r="A3" s="1"/>
      <c r="B3" s="243"/>
      <c r="C3" s="244" t="s">
        <v>2</v>
      </c>
      <c r="D3" s="251" t="s">
        <v>136</v>
      </c>
      <c r="E3" s="247" t="s">
        <v>137</v>
      </c>
      <c r="F3" s="247" t="s">
        <v>138</v>
      </c>
      <c r="G3" s="246" t="s">
        <v>139</v>
      </c>
      <c r="H3" s="247" t="s">
        <v>140</v>
      </c>
      <c r="I3" s="247" t="s">
        <v>141</v>
      </c>
      <c r="J3" s="247" t="s">
        <v>142</v>
      </c>
      <c r="K3" s="247" t="s">
        <v>143</v>
      </c>
      <c r="L3" s="247" t="s">
        <v>144</v>
      </c>
      <c r="M3" s="246" t="s">
        <v>145</v>
      </c>
      <c r="N3" s="246" t="s">
        <v>146</v>
      </c>
      <c r="O3" s="246" t="s">
        <v>147</v>
      </c>
      <c r="P3" s="246" t="s">
        <v>148</v>
      </c>
      <c r="Q3" s="246" t="s">
        <v>149</v>
      </c>
      <c r="R3" s="246" t="s">
        <v>150</v>
      </c>
      <c r="S3" s="246" t="s">
        <v>151</v>
      </c>
      <c r="T3" s="246" t="s">
        <v>152</v>
      </c>
      <c r="U3" s="246" t="s">
        <v>153</v>
      </c>
      <c r="V3" s="246" t="s">
        <v>151</v>
      </c>
      <c r="W3" s="248" t="s">
        <v>152</v>
      </c>
      <c r="X3" s="246" t="s">
        <v>154</v>
      </c>
      <c r="Y3" s="246" t="s">
        <v>151</v>
      </c>
      <c r="Z3" s="248" t="s">
        <v>152</v>
      </c>
      <c r="AA3" s="246">
        <v>2025</v>
      </c>
      <c r="AB3" s="246" t="s">
        <v>151</v>
      </c>
      <c r="AC3" s="246" t="s">
        <v>152</v>
      </c>
      <c r="AD3" s="249">
        <v>2026</v>
      </c>
      <c r="AE3" s="249">
        <v>2027</v>
      </c>
      <c r="AF3" s="249">
        <v>2028</v>
      </c>
      <c r="AG3" s="249">
        <v>2029</v>
      </c>
      <c r="AH3" s="249">
        <v>2030</v>
      </c>
      <c r="AI3" s="249">
        <v>2031</v>
      </c>
      <c r="AJ3" s="342">
        <v>2022</v>
      </c>
      <c r="AK3" s="342">
        <v>2023</v>
      </c>
      <c r="AL3" s="342">
        <v>2024</v>
      </c>
      <c r="AM3" s="342">
        <v>2025</v>
      </c>
      <c r="AN3" s="342">
        <v>2026</v>
      </c>
      <c r="AO3" s="342"/>
      <c r="AP3" s="1"/>
      <c r="AQ3" s="246" t="s">
        <v>253</v>
      </c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</row>
    <row r="4" spans="1:72" ht="12.75" customHeight="1" x14ac:dyDescent="0.2">
      <c r="B4" s="145"/>
      <c r="C4" s="149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5"/>
      <c r="X4" s="254"/>
      <c r="Y4" s="254"/>
      <c r="Z4" s="255"/>
      <c r="AA4" s="254"/>
      <c r="AB4" s="256"/>
      <c r="AC4" s="256"/>
      <c r="AD4" s="256"/>
      <c r="AE4" s="256"/>
      <c r="AF4" s="256"/>
      <c r="AG4" s="256"/>
      <c r="AH4" s="256"/>
      <c r="AI4" s="256"/>
      <c r="AJ4" s="256"/>
      <c r="AK4" s="257"/>
      <c r="AL4" s="257"/>
      <c r="AM4" s="257"/>
      <c r="AN4" s="257"/>
      <c r="AO4" s="257"/>
      <c r="AP4" s="58"/>
      <c r="AQ4" s="254"/>
    </row>
    <row r="5" spans="1:72" s="27" customFormat="1" ht="12.75" customHeight="1" x14ac:dyDescent="0.2">
      <c r="A5" s="1"/>
      <c r="B5" s="262" t="s">
        <v>5</v>
      </c>
      <c r="C5" s="263"/>
      <c r="D5" s="264"/>
      <c r="E5" s="264"/>
      <c r="F5" s="264"/>
      <c r="G5" s="264"/>
      <c r="H5" s="264"/>
      <c r="I5" s="265"/>
      <c r="J5" s="264"/>
      <c r="K5" s="265"/>
      <c r="L5" s="265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6"/>
      <c r="X5" s="264"/>
      <c r="Y5" s="264"/>
      <c r="Z5" s="266"/>
      <c r="AA5" s="264"/>
      <c r="AB5" s="266"/>
      <c r="AC5" s="264"/>
      <c r="AD5" s="72"/>
      <c r="AE5" s="72"/>
      <c r="AF5" s="72"/>
      <c r="AG5" s="72"/>
      <c r="AH5" s="72"/>
      <c r="AI5" s="72"/>
      <c r="AJ5" s="72"/>
      <c r="AK5" s="267"/>
      <c r="AL5" s="267"/>
      <c r="AM5" s="267"/>
      <c r="AN5" s="267"/>
      <c r="AO5" s="267"/>
      <c r="AP5" s="58"/>
      <c r="AQ5" s="264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</row>
    <row r="6" spans="1:72" ht="12.75" hidden="1" customHeight="1" x14ac:dyDescent="0.2">
      <c r="B6" s="134" t="s">
        <v>8</v>
      </c>
      <c r="C6" s="135" t="s">
        <v>9</v>
      </c>
      <c r="D6" s="136">
        <v>8106</v>
      </c>
      <c r="E6" s="136">
        <v>8400</v>
      </c>
      <c r="F6" s="136">
        <v>7110</v>
      </c>
      <c r="G6" s="133">
        <f>SUM(I6,K6,M6:AA6)</f>
        <v>-100000</v>
      </c>
      <c r="H6" s="133">
        <v>-200000</v>
      </c>
      <c r="I6" s="268">
        <v>0</v>
      </c>
      <c r="J6" s="133">
        <v>-100000</v>
      </c>
      <c r="K6" s="133">
        <v>-100000</v>
      </c>
      <c r="L6" s="133"/>
      <c r="M6" s="133"/>
      <c r="N6" s="133"/>
      <c r="O6" s="133"/>
      <c r="P6" s="133"/>
      <c r="Q6" s="133"/>
      <c r="R6" s="133"/>
      <c r="S6" s="136"/>
      <c r="T6" s="133"/>
      <c r="U6" s="133"/>
      <c r="V6" s="133"/>
      <c r="W6" s="143"/>
      <c r="X6" s="133"/>
      <c r="Y6" s="133"/>
      <c r="Z6" s="143"/>
      <c r="AA6" s="133"/>
      <c r="AB6" s="269"/>
      <c r="AC6" s="269"/>
      <c r="AD6" s="269"/>
      <c r="AE6" s="133"/>
      <c r="AF6" s="133"/>
      <c r="AG6" s="133"/>
      <c r="AH6" s="133"/>
      <c r="AI6" s="133"/>
      <c r="AJ6" s="133" t="s">
        <v>158</v>
      </c>
      <c r="AK6" s="133"/>
      <c r="AL6" s="133"/>
      <c r="AM6" s="133"/>
      <c r="AN6" s="133"/>
      <c r="AO6" s="133"/>
      <c r="AP6" s="58"/>
      <c r="AQ6" s="133"/>
    </row>
    <row r="7" spans="1:72" ht="12.75" hidden="1" customHeight="1" x14ac:dyDescent="0.2">
      <c r="B7" s="134" t="s">
        <v>159</v>
      </c>
      <c r="C7" s="135"/>
      <c r="D7" s="136"/>
      <c r="E7" s="136"/>
      <c r="F7" s="136"/>
      <c r="G7" s="133">
        <f>SUM(I7,K7,M7:AA7)</f>
        <v>0</v>
      </c>
      <c r="H7" s="133">
        <v>-10000</v>
      </c>
      <c r="I7" s="268">
        <v>0</v>
      </c>
      <c r="J7" s="133"/>
      <c r="K7" s="133"/>
      <c r="L7" s="133"/>
      <c r="M7" s="133"/>
      <c r="N7" s="133"/>
      <c r="O7" s="133"/>
      <c r="P7" s="133"/>
      <c r="Q7" s="133"/>
      <c r="R7" s="133"/>
      <c r="S7" s="136"/>
      <c r="T7" s="133"/>
      <c r="U7" s="133"/>
      <c r="V7" s="133"/>
      <c r="W7" s="143"/>
      <c r="X7" s="133"/>
      <c r="Y7" s="133"/>
      <c r="Z7" s="143"/>
      <c r="AA7" s="133"/>
      <c r="AB7" s="269"/>
      <c r="AC7" s="269"/>
      <c r="AD7" s="269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58"/>
      <c r="AQ7" s="133"/>
    </row>
    <row r="8" spans="1:72" s="57" customFormat="1" ht="12.75" customHeight="1" x14ac:dyDescent="0.2">
      <c r="A8" s="7"/>
      <c r="B8" s="262" t="s">
        <v>16</v>
      </c>
      <c r="C8" s="263"/>
      <c r="D8" s="264"/>
      <c r="E8" s="264"/>
      <c r="F8" s="264"/>
      <c r="G8" s="271">
        <v>0</v>
      </c>
      <c r="H8" s="271">
        <f>SUM(H6:H7)</f>
        <v>-210000</v>
      </c>
      <c r="I8" s="271">
        <f t="shared" ref="I8:AO8" si="0">SUM(I6:I7)</f>
        <v>0</v>
      </c>
      <c r="J8" s="271">
        <f t="shared" si="0"/>
        <v>-100000</v>
      </c>
      <c r="K8" s="271">
        <f t="shared" si="0"/>
        <v>-100000</v>
      </c>
      <c r="L8" s="271">
        <f t="shared" si="0"/>
        <v>0</v>
      </c>
      <c r="M8" s="271">
        <f>SUM(M6:M7)</f>
        <v>0</v>
      </c>
      <c r="N8" s="271">
        <f t="shared" si="0"/>
        <v>0</v>
      </c>
      <c r="O8" s="271">
        <f t="shared" si="0"/>
        <v>0</v>
      </c>
      <c r="P8" s="271">
        <f t="shared" si="0"/>
        <v>0</v>
      </c>
      <c r="Q8" s="271">
        <f>SUM(Q6:Q7)</f>
        <v>0</v>
      </c>
      <c r="R8" s="272">
        <v>0</v>
      </c>
      <c r="S8" s="264"/>
      <c r="T8" s="271"/>
      <c r="U8" s="271">
        <f t="shared" si="0"/>
        <v>0</v>
      </c>
      <c r="V8" s="271"/>
      <c r="W8" s="266"/>
      <c r="X8" s="271">
        <f t="shared" si="0"/>
        <v>0</v>
      </c>
      <c r="Y8" s="271"/>
      <c r="Z8" s="266"/>
      <c r="AA8" s="271">
        <f t="shared" si="0"/>
        <v>0</v>
      </c>
      <c r="AB8" s="273"/>
      <c r="AC8" s="273"/>
      <c r="AD8" s="273">
        <f t="shared" si="0"/>
        <v>0</v>
      </c>
      <c r="AE8" s="271">
        <f t="shared" si="0"/>
        <v>0</v>
      </c>
      <c r="AF8" s="271">
        <f t="shared" si="0"/>
        <v>0</v>
      </c>
      <c r="AG8" s="271">
        <f t="shared" si="0"/>
        <v>0</v>
      </c>
      <c r="AH8" s="271">
        <f t="shared" si="0"/>
        <v>0</v>
      </c>
      <c r="AI8" s="271">
        <f t="shared" si="0"/>
        <v>0</v>
      </c>
      <c r="AJ8" s="271">
        <f t="shared" si="0"/>
        <v>0</v>
      </c>
      <c r="AK8" s="271">
        <f t="shared" si="0"/>
        <v>0</v>
      </c>
      <c r="AL8" s="271">
        <f t="shared" si="0"/>
        <v>0</v>
      </c>
      <c r="AM8" s="271">
        <f t="shared" si="0"/>
        <v>0</v>
      </c>
      <c r="AN8" s="271">
        <f t="shared" si="0"/>
        <v>0</v>
      </c>
      <c r="AO8" s="271">
        <f t="shared" si="0"/>
        <v>0</v>
      </c>
      <c r="AP8" s="58"/>
      <c r="AQ8" s="271">
        <f t="shared" ref="AQ8" si="1">SUM(AQ6:AQ7)</f>
        <v>0</v>
      </c>
      <c r="AR8" s="1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</row>
    <row r="9" spans="1:72" s="7" customFormat="1" ht="12.75" customHeight="1" x14ac:dyDescent="0.2">
      <c r="B9" s="145"/>
      <c r="C9" s="149"/>
      <c r="D9" s="254"/>
      <c r="E9" s="254"/>
      <c r="F9" s="254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54"/>
      <c r="T9" s="275"/>
      <c r="U9" s="275"/>
      <c r="V9" s="275"/>
      <c r="W9" s="255"/>
      <c r="X9" s="275"/>
      <c r="Y9" s="275"/>
      <c r="Z9" s="255"/>
      <c r="AA9" s="275"/>
      <c r="AB9" s="276"/>
      <c r="AC9" s="276"/>
      <c r="AD9" s="276"/>
      <c r="AE9" s="276"/>
      <c r="AF9" s="276"/>
      <c r="AG9" s="276"/>
      <c r="AH9" s="276"/>
      <c r="AI9" s="276"/>
      <c r="AJ9" s="276"/>
      <c r="AK9" s="276"/>
      <c r="AL9" s="276"/>
      <c r="AM9" s="276"/>
      <c r="AN9" s="276"/>
      <c r="AO9" s="276"/>
      <c r="AP9" s="58"/>
      <c r="AQ9" s="275"/>
      <c r="AR9" s="1"/>
    </row>
    <row r="10" spans="1:72" s="57" customFormat="1" ht="12.75" customHeight="1" x14ac:dyDescent="0.2">
      <c r="A10" s="7"/>
      <c r="B10" s="262" t="s">
        <v>121</v>
      </c>
      <c r="C10" s="263"/>
      <c r="D10" s="264"/>
      <c r="E10" s="264"/>
      <c r="F10" s="264"/>
      <c r="G10" s="264"/>
      <c r="H10" s="271"/>
      <c r="I10" s="271"/>
      <c r="J10" s="271"/>
      <c r="K10" s="271"/>
      <c r="L10" s="271"/>
      <c r="M10" s="264"/>
      <c r="N10" s="264"/>
      <c r="O10" s="264"/>
      <c r="P10" s="264"/>
      <c r="Q10" s="264"/>
      <c r="R10" s="264"/>
      <c r="S10" s="264"/>
      <c r="T10" s="264"/>
      <c r="U10" s="271"/>
      <c r="V10" s="271"/>
      <c r="W10" s="266"/>
      <c r="X10" s="271"/>
      <c r="Y10" s="271"/>
      <c r="Z10" s="266"/>
      <c r="AA10" s="271"/>
      <c r="AB10" s="273"/>
      <c r="AC10" s="273"/>
      <c r="AD10" s="273"/>
      <c r="AE10" s="273"/>
      <c r="AF10" s="273"/>
      <c r="AG10" s="273"/>
      <c r="AH10" s="273"/>
      <c r="AI10" s="273"/>
      <c r="AJ10" s="273"/>
      <c r="AK10" s="273"/>
      <c r="AL10" s="273"/>
      <c r="AM10" s="273"/>
      <c r="AN10" s="273"/>
      <c r="AO10" s="273"/>
      <c r="AP10" s="58"/>
      <c r="AQ10" s="271"/>
      <c r="AR10" s="1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</row>
    <row r="11" spans="1:72" s="7" customFormat="1" ht="12.75" hidden="1" customHeight="1" x14ac:dyDescent="0.2">
      <c r="B11" s="134" t="s">
        <v>122</v>
      </c>
      <c r="C11" s="135" t="s">
        <v>55</v>
      </c>
      <c r="D11" s="136">
        <v>8143</v>
      </c>
      <c r="E11" s="136">
        <v>8440</v>
      </c>
      <c r="F11" s="136"/>
      <c r="G11" s="275">
        <f>SUM(I11,K11,M11:AA11)</f>
        <v>-96784</v>
      </c>
      <c r="H11" s="133">
        <v>-60490</v>
      </c>
      <c r="I11" s="133">
        <v>-60490</v>
      </c>
      <c r="J11" s="133">
        <v>-36294</v>
      </c>
      <c r="K11" s="133">
        <v>-36294</v>
      </c>
      <c r="L11" s="133"/>
      <c r="M11" s="275"/>
      <c r="N11" s="275"/>
      <c r="O11" s="275"/>
      <c r="P11" s="275"/>
      <c r="Q11" s="275"/>
      <c r="R11" s="275"/>
      <c r="S11" s="254"/>
      <c r="T11" s="275"/>
      <c r="U11" s="277"/>
      <c r="V11" s="277"/>
      <c r="W11" s="278"/>
      <c r="X11" s="277"/>
      <c r="Y11" s="277"/>
      <c r="Z11" s="278"/>
      <c r="AA11" s="133"/>
      <c r="AB11" s="269"/>
      <c r="AC11" s="269"/>
      <c r="AD11" s="269"/>
      <c r="AE11" s="133"/>
      <c r="AF11" s="133"/>
      <c r="AG11" s="133"/>
      <c r="AH11" s="133"/>
      <c r="AI11" s="133"/>
      <c r="AJ11" s="277" t="s">
        <v>160</v>
      </c>
      <c r="AK11" s="277"/>
      <c r="AL11" s="277"/>
      <c r="AM11" s="277"/>
      <c r="AN11" s="277"/>
      <c r="AO11" s="277"/>
      <c r="AP11" s="58"/>
      <c r="AQ11" s="133"/>
      <c r="AR11" s="1"/>
    </row>
    <row r="12" spans="1:72" s="7" customFormat="1" ht="12.75" hidden="1" customHeight="1" x14ac:dyDescent="0.2">
      <c r="B12" s="134" t="s">
        <v>161</v>
      </c>
      <c r="C12" s="135"/>
      <c r="D12" s="136"/>
      <c r="E12" s="136"/>
      <c r="F12" s="136"/>
      <c r="G12" s="275">
        <f t="shared" ref="G12:G15" si="2">SUM(I12,K12,M12:AA12)</f>
        <v>-21</v>
      </c>
      <c r="H12" s="133"/>
      <c r="I12" s="133"/>
      <c r="J12" s="133">
        <v>0</v>
      </c>
      <c r="K12" s="133">
        <v>-21</v>
      </c>
      <c r="L12" s="133"/>
      <c r="M12" s="275"/>
      <c r="N12" s="275"/>
      <c r="O12" s="275"/>
      <c r="P12" s="275"/>
      <c r="Q12" s="275"/>
      <c r="R12" s="275"/>
      <c r="S12" s="254"/>
      <c r="T12" s="275"/>
      <c r="U12" s="277"/>
      <c r="V12" s="277"/>
      <c r="W12" s="278"/>
      <c r="X12" s="277"/>
      <c r="Y12" s="277"/>
      <c r="Z12" s="278"/>
      <c r="AA12" s="133"/>
      <c r="AB12" s="269"/>
      <c r="AC12" s="269"/>
      <c r="AD12" s="269"/>
      <c r="AE12" s="133"/>
      <c r="AF12" s="133"/>
      <c r="AG12" s="133"/>
      <c r="AH12" s="133"/>
      <c r="AI12" s="133"/>
      <c r="AJ12" s="277"/>
      <c r="AK12" s="277"/>
      <c r="AL12" s="277"/>
      <c r="AM12" s="277"/>
      <c r="AN12" s="277"/>
      <c r="AO12" s="277"/>
      <c r="AP12" s="58"/>
      <c r="AQ12" s="133"/>
      <c r="AR12" s="1"/>
    </row>
    <row r="13" spans="1:72" s="7" customFormat="1" ht="12.75" hidden="1" customHeight="1" x14ac:dyDescent="0.2">
      <c r="B13" s="134" t="s">
        <v>162</v>
      </c>
      <c r="C13" s="135"/>
      <c r="D13" s="136"/>
      <c r="E13" s="136"/>
      <c r="F13" s="136"/>
      <c r="G13" s="275">
        <f t="shared" si="2"/>
        <v>-3885</v>
      </c>
      <c r="H13" s="133">
        <v>0</v>
      </c>
      <c r="I13" s="133">
        <v>-3885</v>
      </c>
      <c r="J13" s="133"/>
      <c r="K13" s="133"/>
      <c r="L13" s="133"/>
      <c r="M13" s="275"/>
      <c r="N13" s="275"/>
      <c r="O13" s="275"/>
      <c r="P13" s="275"/>
      <c r="Q13" s="275"/>
      <c r="R13" s="275"/>
      <c r="S13" s="254"/>
      <c r="T13" s="275"/>
      <c r="U13" s="277"/>
      <c r="V13" s="277"/>
      <c r="W13" s="278"/>
      <c r="X13" s="277"/>
      <c r="Y13" s="277"/>
      <c r="Z13" s="278"/>
      <c r="AA13" s="133"/>
      <c r="AB13" s="269"/>
      <c r="AC13" s="269"/>
      <c r="AD13" s="269"/>
      <c r="AE13" s="133"/>
      <c r="AF13" s="133"/>
      <c r="AG13" s="133"/>
      <c r="AH13" s="133"/>
      <c r="AI13" s="133"/>
      <c r="AJ13" s="277" t="s">
        <v>160</v>
      </c>
      <c r="AK13" s="277"/>
      <c r="AL13" s="277"/>
      <c r="AM13" s="277"/>
      <c r="AN13" s="277"/>
      <c r="AO13" s="277"/>
      <c r="AP13" s="58"/>
      <c r="AQ13" s="133"/>
      <c r="AR13" s="1"/>
    </row>
    <row r="14" spans="1:72" s="7" customFormat="1" ht="12.75" hidden="1" customHeight="1" x14ac:dyDescent="0.2">
      <c r="B14" s="134" t="s">
        <v>163</v>
      </c>
      <c r="C14" s="135"/>
      <c r="D14" s="136"/>
      <c r="E14" s="136"/>
      <c r="F14" s="136"/>
      <c r="G14" s="275">
        <f t="shared" si="2"/>
        <v>-4500</v>
      </c>
      <c r="H14" s="133">
        <v>0</v>
      </c>
      <c r="I14" s="133">
        <v>-4500</v>
      </c>
      <c r="J14" s="133"/>
      <c r="K14" s="133"/>
      <c r="L14" s="133"/>
      <c r="M14" s="275"/>
      <c r="N14" s="275"/>
      <c r="O14" s="275"/>
      <c r="P14" s="275"/>
      <c r="Q14" s="275"/>
      <c r="R14" s="275"/>
      <c r="S14" s="254"/>
      <c r="T14" s="275"/>
      <c r="U14" s="277"/>
      <c r="V14" s="277"/>
      <c r="W14" s="278"/>
      <c r="X14" s="277"/>
      <c r="Y14" s="277"/>
      <c r="Z14" s="278"/>
      <c r="AA14" s="133"/>
      <c r="AB14" s="269"/>
      <c r="AC14" s="269"/>
      <c r="AD14" s="269"/>
      <c r="AE14" s="133"/>
      <c r="AF14" s="133"/>
      <c r="AG14" s="133"/>
      <c r="AH14" s="133"/>
      <c r="AI14" s="133"/>
      <c r="AJ14" s="277" t="s">
        <v>160</v>
      </c>
      <c r="AK14" s="277"/>
      <c r="AL14" s="277"/>
      <c r="AM14" s="277"/>
      <c r="AN14" s="277"/>
      <c r="AO14" s="277"/>
      <c r="AP14" s="58"/>
      <c r="AQ14" s="133"/>
      <c r="AR14" s="1"/>
    </row>
    <row r="15" spans="1:72" s="7" customFormat="1" ht="12.75" hidden="1" customHeight="1" x14ac:dyDescent="0.2">
      <c r="B15" s="134" t="s">
        <v>164</v>
      </c>
      <c r="C15" s="135"/>
      <c r="D15" s="136"/>
      <c r="E15" s="136"/>
      <c r="F15" s="136"/>
      <c r="G15" s="275">
        <f t="shared" si="2"/>
        <v>-11801</v>
      </c>
      <c r="H15" s="133">
        <v>0</v>
      </c>
      <c r="I15" s="133">
        <v>-11801</v>
      </c>
      <c r="J15" s="133"/>
      <c r="K15" s="133"/>
      <c r="L15" s="133"/>
      <c r="M15" s="275"/>
      <c r="N15" s="275"/>
      <c r="O15" s="275"/>
      <c r="P15" s="275"/>
      <c r="Q15" s="275"/>
      <c r="R15" s="275"/>
      <c r="S15" s="254"/>
      <c r="T15" s="275"/>
      <c r="U15" s="277"/>
      <c r="V15" s="277"/>
      <c r="W15" s="278"/>
      <c r="X15" s="277"/>
      <c r="Y15" s="277"/>
      <c r="Z15" s="278"/>
      <c r="AA15" s="133"/>
      <c r="AB15" s="269"/>
      <c r="AC15" s="269"/>
      <c r="AD15" s="269"/>
      <c r="AE15" s="133"/>
      <c r="AF15" s="133"/>
      <c r="AG15" s="133"/>
      <c r="AH15" s="133"/>
      <c r="AI15" s="133"/>
      <c r="AJ15" s="277" t="s">
        <v>160</v>
      </c>
      <c r="AK15" s="277"/>
      <c r="AL15" s="277"/>
      <c r="AM15" s="277"/>
      <c r="AN15" s="277"/>
      <c r="AO15" s="277"/>
      <c r="AP15" s="58"/>
      <c r="AQ15" s="133"/>
      <c r="AR15" s="1"/>
    </row>
    <row r="16" spans="1:72" s="7" customFormat="1" ht="12.75" customHeight="1" x14ac:dyDescent="0.2">
      <c r="B16" s="134" t="s">
        <v>165</v>
      </c>
      <c r="C16" s="135"/>
      <c r="D16" s="136">
        <v>8003</v>
      </c>
      <c r="E16" s="136"/>
      <c r="F16" s="136"/>
      <c r="G16" s="133">
        <f>SUM(M16,U16:AA16,AQ16)</f>
        <v>46924.43</v>
      </c>
      <c r="H16" s="133"/>
      <c r="I16" s="133"/>
      <c r="J16" s="133"/>
      <c r="K16" s="133"/>
      <c r="L16" s="133">
        <v>0</v>
      </c>
      <c r="M16" s="133">
        <v>46924.43</v>
      </c>
      <c r="N16" s="133"/>
      <c r="O16" s="275">
        <v>0</v>
      </c>
      <c r="P16" s="275">
        <f>N16+O16</f>
        <v>0</v>
      </c>
      <c r="Q16" s="275">
        <v>0</v>
      </c>
      <c r="R16" s="137">
        <v>0</v>
      </c>
      <c r="S16" s="254"/>
      <c r="T16" s="275"/>
      <c r="U16" s="277"/>
      <c r="V16" s="277"/>
      <c r="W16" s="278"/>
      <c r="X16" s="277"/>
      <c r="Y16" s="277"/>
      <c r="Z16" s="278"/>
      <c r="AA16" s="133"/>
      <c r="AB16" s="269"/>
      <c r="AC16" s="269"/>
      <c r="AD16" s="269"/>
      <c r="AE16" s="133"/>
      <c r="AF16" s="133"/>
      <c r="AG16" s="133"/>
      <c r="AH16" s="133"/>
      <c r="AI16" s="133"/>
      <c r="AJ16" s="277"/>
      <c r="AK16" s="277"/>
      <c r="AL16" s="277"/>
      <c r="AM16" s="277"/>
      <c r="AN16" s="277"/>
      <c r="AO16" s="277"/>
      <c r="AP16" s="58"/>
      <c r="AQ16" s="133"/>
      <c r="AR16" s="1"/>
    </row>
    <row r="17" spans="1:72" s="57" customFormat="1" ht="12.75" customHeight="1" x14ac:dyDescent="0.2">
      <c r="A17" s="7"/>
      <c r="B17" s="262" t="s">
        <v>123</v>
      </c>
      <c r="C17" s="263"/>
      <c r="D17" s="264"/>
      <c r="E17" s="264"/>
      <c r="F17" s="264"/>
      <c r="G17" s="271">
        <f>SUM(G16)</f>
        <v>46924.43</v>
      </c>
      <c r="H17" s="271">
        <f t="shared" ref="H17:Q17" si="3">SUM(H16)</f>
        <v>0</v>
      </c>
      <c r="I17" s="271">
        <f t="shared" si="3"/>
        <v>0</v>
      </c>
      <c r="J17" s="271">
        <f t="shared" si="3"/>
        <v>0</v>
      </c>
      <c r="K17" s="271">
        <f t="shared" si="3"/>
        <v>0</v>
      </c>
      <c r="L17" s="271">
        <f t="shared" si="3"/>
        <v>0</v>
      </c>
      <c r="M17" s="271">
        <f t="shared" si="3"/>
        <v>46924.43</v>
      </c>
      <c r="N17" s="271">
        <f t="shared" si="3"/>
        <v>0</v>
      </c>
      <c r="O17" s="271">
        <f t="shared" si="3"/>
        <v>0</v>
      </c>
      <c r="P17" s="271">
        <f t="shared" si="3"/>
        <v>0</v>
      </c>
      <c r="Q17" s="271">
        <f t="shared" si="3"/>
        <v>0</v>
      </c>
      <c r="R17" s="272">
        <v>0</v>
      </c>
      <c r="S17" s="271"/>
      <c r="T17" s="271"/>
      <c r="U17" s="271">
        <f t="shared" ref="U17" si="4">SUM(U16)</f>
        <v>0</v>
      </c>
      <c r="V17" s="271"/>
      <c r="W17" s="266"/>
      <c r="X17" s="271">
        <f t="shared" ref="X17" si="5">SUM(X16)</f>
        <v>0</v>
      </c>
      <c r="Y17" s="271"/>
      <c r="Z17" s="266"/>
      <c r="AA17" s="271">
        <f t="shared" ref="AA17" si="6">SUM(AA16)</f>
        <v>0</v>
      </c>
      <c r="AB17" s="273"/>
      <c r="AC17" s="273"/>
      <c r="AD17" s="273">
        <f t="shared" ref="AD17:AO17" si="7">SUM(AD11:AD16)</f>
        <v>0</v>
      </c>
      <c r="AE17" s="271">
        <f t="shared" si="7"/>
        <v>0</v>
      </c>
      <c r="AF17" s="271">
        <f t="shared" si="7"/>
        <v>0</v>
      </c>
      <c r="AG17" s="271">
        <f t="shared" si="7"/>
        <v>0</v>
      </c>
      <c r="AH17" s="271">
        <f t="shared" si="7"/>
        <v>0</v>
      </c>
      <c r="AI17" s="271">
        <f t="shared" si="7"/>
        <v>0</v>
      </c>
      <c r="AJ17" s="271">
        <f t="shared" si="7"/>
        <v>0</v>
      </c>
      <c r="AK17" s="271">
        <f t="shared" si="7"/>
        <v>0</v>
      </c>
      <c r="AL17" s="271">
        <f t="shared" si="7"/>
        <v>0</v>
      </c>
      <c r="AM17" s="271">
        <f t="shared" si="7"/>
        <v>0</v>
      </c>
      <c r="AN17" s="271">
        <f t="shared" si="7"/>
        <v>0</v>
      </c>
      <c r="AO17" s="271">
        <f t="shared" si="7"/>
        <v>0</v>
      </c>
      <c r="AP17" s="58"/>
      <c r="AQ17" s="271">
        <f t="shared" ref="AQ17" si="8">SUM(AQ16)</f>
        <v>0</v>
      </c>
      <c r="AR17" s="1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</row>
    <row r="18" spans="1:72" ht="12.75" customHeight="1" x14ac:dyDescent="0.2">
      <c r="B18" s="134"/>
      <c r="C18" s="135"/>
      <c r="D18" s="136"/>
      <c r="E18" s="136"/>
      <c r="F18" s="136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6"/>
      <c r="T18" s="133"/>
      <c r="U18" s="133"/>
      <c r="V18" s="133"/>
      <c r="W18" s="143"/>
      <c r="X18" s="133"/>
      <c r="Y18" s="133"/>
      <c r="Z18" s="143"/>
      <c r="AA18" s="133"/>
      <c r="AB18" s="269"/>
      <c r="AC18" s="269"/>
      <c r="AD18" s="269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58"/>
      <c r="AQ18" s="133"/>
    </row>
    <row r="19" spans="1:72" s="27" customFormat="1" ht="12.75" customHeight="1" x14ac:dyDescent="0.2">
      <c r="A19" s="1"/>
      <c r="B19" s="262" t="s">
        <v>18</v>
      </c>
      <c r="C19" s="263"/>
      <c r="D19" s="264"/>
      <c r="E19" s="264"/>
      <c r="F19" s="264"/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279"/>
      <c r="R19" s="279"/>
      <c r="S19" s="280"/>
      <c r="T19" s="279"/>
      <c r="U19" s="279"/>
      <c r="V19" s="279"/>
      <c r="W19" s="281"/>
      <c r="X19" s="279"/>
      <c r="Y19" s="279"/>
      <c r="Z19" s="281"/>
      <c r="AA19" s="279"/>
      <c r="AB19" s="282"/>
      <c r="AC19" s="282"/>
      <c r="AD19" s="282"/>
      <c r="AE19" s="279"/>
      <c r="AF19" s="279"/>
      <c r="AG19" s="279"/>
      <c r="AH19" s="279"/>
      <c r="AI19" s="279"/>
      <c r="AJ19" s="279"/>
      <c r="AK19" s="279"/>
      <c r="AL19" s="279"/>
      <c r="AM19" s="279"/>
      <c r="AN19" s="279"/>
      <c r="AO19" s="279"/>
      <c r="AP19" s="58"/>
      <c r="AQ19" s="279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</row>
    <row r="20" spans="1:72" ht="12.75" customHeight="1" x14ac:dyDescent="0.2">
      <c r="B20" s="134" t="s">
        <v>166</v>
      </c>
      <c r="C20" s="135" t="s">
        <v>7</v>
      </c>
      <c r="D20" s="136">
        <v>8000</v>
      </c>
      <c r="E20" s="136">
        <v>8200</v>
      </c>
      <c r="F20" s="136"/>
      <c r="G20" s="133">
        <f>SUM(M20,U20:AA20,AQ20)</f>
        <v>-115001</v>
      </c>
      <c r="H20" s="133">
        <v>-490000</v>
      </c>
      <c r="I20" s="133">
        <v>-390000</v>
      </c>
      <c r="J20" s="133">
        <v>-276000</v>
      </c>
      <c r="K20" s="133">
        <v>-275822</v>
      </c>
      <c r="L20" s="133">
        <f>-300000-1020500+1020500+125000</f>
        <v>-175000</v>
      </c>
      <c r="M20" s="133">
        <v>-1</v>
      </c>
      <c r="N20" s="133">
        <v>0</v>
      </c>
      <c r="O20" s="133">
        <v>0</v>
      </c>
      <c r="P20" s="133">
        <f>N20+O20</f>
        <v>0</v>
      </c>
      <c r="Q20" s="133">
        <v>-113604</v>
      </c>
      <c r="R20" s="137">
        <v>0</v>
      </c>
      <c r="S20" s="136"/>
      <c r="T20" s="133"/>
      <c r="U20" s="307"/>
      <c r="V20" s="133"/>
      <c r="W20" s="143"/>
      <c r="X20" s="307"/>
      <c r="Y20" s="133"/>
      <c r="Z20" s="143"/>
      <c r="AA20" s="307"/>
      <c r="AB20" s="269"/>
      <c r="AC20" s="269"/>
      <c r="AD20" s="269"/>
      <c r="AE20" s="133"/>
      <c r="AF20" s="133"/>
      <c r="AG20" s="133"/>
      <c r="AH20" s="133"/>
      <c r="AI20" s="133"/>
      <c r="AJ20" s="277" t="s">
        <v>160</v>
      </c>
      <c r="AK20" s="133"/>
      <c r="AL20" s="133"/>
      <c r="AM20" s="133"/>
      <c r="AN20" s="133"/>
      <c r="AO20" s="133"/>
      <c r="AP20" s="58"/>
      <c r="AQ20" s="133">
        <v>-115000</v>
      </c>
    </row>
    <row r="21" spans="1:72" ht="12.75" customHeight="1" x14ac:dyDescent="0.2">
      <c r="B21" s="134" t="s">
        <v>167</v>
      </c>
      <c r="C21" s="135" t="s">
        <v>7</v>
      </c>
      <c r="D21" s="136">
        <v>8001</v>
      </c>
      <c r="E21" s="136">
        <v>8200</v>
      </c>
      <c r="F21" s="136"/>
      <c r="G21" s="133">
        <f>SUM(M21,U21:AA21,AQ21)</f>
        <v>88835.44</v>
      </c>
      <c r="H21" s="133">
        <v>160000</v>
      </c>
      <c r="I21" s="133">
        <v>33413</v>
      </c>
      <c r="J21" s="133">
        <v>130000</v>
      </c>
      <c r="K21" s="133">
        <v>104786</v>
      </c>
      <c r="L21" s="133">
        <v>100000</v>
      </c>
      <c r="M21" s="133">
        <v>78835.44</v>
      </c>
      <c r="N21" s="133"/>
      <c r="O21" s="133">
        <v>0</v>
      </c>
      <c r="P21" s="133">
        <f>N21+O21</f>
        <v>0</v>
      </c>
      <c r="Q21" s="133">
        <v>9176.07</v>
      </c>
      <c r="R21" s="137">
        <v>0</v>
      </c>
      <c r="S21" s="136"/>
      <c r="T21" s="133"/>
      <c r="U21" s="133"/>
      <c r="V21" s="133"/>
      <c r="W21" s="143"/>
      <c r="X21" s="133"/>
      <c r="Y21" s="133"/>
      <c r="Z21" s="143"/>
      <c r="AA21" s="133"/>
      <c r="AB21" s="269"/>
      <c r="AC21" s="269"/>
      <c r="AD21" s="269"/>
      <c r="AE21" s="133"/>
      <c r="AF21" s="133"/>
      <c r="AG21" s="133"/>
      <c r="AH21" s="133"/>
      <c r="AI21" s="133"/>
      <c r="AJ21" s="277" t="s">
        <v>160</v>
      </c>
      <c r="AK21" s="133"/>
      <c r="AL21" s="133"/>
      <c r="AM21" s="133"/>
      <c r="AN21" s="133"/>
      <c r="AO21" s="133"/>
      <c r="AP21" s="58"/>
      <c r="AQ21" s="133">
        <v>10000</v>
      </c>
    </row>
    <row r="22" spans="1:72" ht="12.75" hidden="1" customHeight="1" x14ac:dyDescent="0.2">
      <c r="B22" s="134" t="s">
        <v>168</v>
      </c>
      <c r="C22" s="135"/>
      <c r="D22" s="136">
        <v>8001</v>
      </c>
      <c r="E22" s="136">
        <v>8200</v>
      </c>
      <c r="F22" s="136"/>
      <c r="G22" s="133">
        <f t="shared" ref="G22" si="9">SUM(I22,K22,M22:AA22)</f>
        <v>0</v>
      </c>
      <c r="H22" s="133"/>
      <c r="I22" s="133"/>
      <c r="J22" s="133"/>
      <c r="K22" s="133"/>
      <c r="L22" s="268"/>
      <c r="M22" s="133"/>
      <c r="N22" s="133"/>
      <c r="O22" s="133"/>
      <c r="P22" s="133"/>
      <c r="Q22" s="133"/>
      <c r="R22" s="133"/>
      <c r="S22" s="136"/>
      <c r="T22" s="133"/>
      <c r="U22" s="133"/>
      <c r="V22" s="133"/>
      <c r="W22" s="143"/>
      <c r="X22" s="133"/>
      <c r="Y22" s="133"/>
      <c r="Z22" s="143"/>
      <c r="AA22" s="133"/>
      <c r="AB22" s="269"/>
      <c r="AC22" s="269"/>
      <c r="AD22" s="269"/>
      <c r="AE22" s="133"/>
      <c r="AF22" s="133"/>
      <c r="AG22" s="133"/>
      <c r="AH22" s="133"/>
      <c r="AI22" s="133"/>
      <c r="AJ22" s="277" t="s">
        <v>160</v>
      </c>
      <c r="AK22" s="133"/>
      <c r="AL22" s="133"/>
      <c r="AM22" s="133"/>
      <c r="AN22" s="133"/>
      <c r="AO22" s="133"/>
      <c r="AP22" s="58"/>
      <c r="AQ22" s="133"/>
    </row>
    <row r="23" spans="1:72" s="57" customFormat="1" ht="12.75" customHeight="1" x14ac:dyDescent="0.2">
      <c r="A23" s="7"/>
      <c r="B23" s="262" t="s">
        <v>23</v>
      </c>
      <c r="C23" s="263"/>
      <c r="D23" s="264"/>
      <c r="E23" s="264"/>
      <c r="F23" s="264"/>
      <c r="G23" s="271">
        <f>SUM(G20:G21)</f>
        <v>-26165.559999999998</v>
      </c>
      <c r="H23" s="271">
        <f t="shared" ref="H23:Q23" si="10">SUM(H20:H21)</f>
        <v>-330000</v>
      </c>
      <c r="I23" s="271">
        <f t="shared" si="10"/>
        <v>-356587</v>
      </c>
      <c r="J23" s="271">
        <f t="shared" si="10"/>
        <v>-146000</v>
      </c>
      <c r="K23" s="271">
        <f t="shared" si="10"/>
        <v>-171036</v>
      </c>
      <c r="L23" s="271">
        <f t="shared" si="10"/>
        <v>-75000</v>
      </c>
      <c r="M23" s="271">
        <f t="shared" si="10"/>
        <v>78834.44</v>
      </c>
      <c r="N23" s="271">
        <f t="shared" si="10"/>
        <v>0</v>
      </c>
      <c r="O23" s="271">
        <f t="shared" si="10"/>
        <v>0</v>
      </c>
      <c r="P23" s="271">
        <f t="shared" si="10"/>
        <v>0</v>
      </c>
      <c r="Q23" s="271">
        <f t="shared" si="10"/>
        <v>-104427.93</v>
      </c>
      <c r="R23" s="272">
        <v>0</v>
      </c>
      <c r="S23" s="271"/>
      <c r="T23" s="271"/>
      <c r="U23" s="271">
        <f t="shared" ref="U23" si="11">SUM(U20:U21)</f>
        <v>0</v>
      </c>
      <c r="V23" s="271"/>
      <c r="W23" s="266"/>
      <c r="X23" s="271">
        <f t="shared" ref="X23" si="12">SUM(X20:X21)</f>
        <v>0</v>
      </c>
      <c r="Y23" s="271"/>
      <c r="Z23" s="266"/>
      <c r="AA23" s="271">
        <f t="shared" ref="AA23" si="13">SUM(AA20:AA21)</f>
        <v>0</v>
      </c>
      <c r="AB23" s="273"/>
      <c r="AC23" s="273"/>
      <c r="AD23" s="318">
        <f t="shared" ref="AD23:AO23" si="14">SUM(AD20:AD21)</f>
        <v>0</v>
      </c>
      <c r="AE23" s="316">
        <f t="shared" si="14"/>
        <v>0</v>
      </c>
      <c r="AF23" s="316">
        <f t="shared" si="14"/>
        <v>0</v>
      </c>
      <c r="AG23" s="316">
        <f t="shared" si="14"/>
        <v>0</v>
      </c>
      <c r="AH23" s="316">
        <f t="shared" si="14"/>
        <v>0</v>
      </c>
      <c r="AI23" s="316">
        <f t="shared" si="14"/>
        <v>0</v>
      </c>
      <c r="AJ23" s="316">
        <f t="shared" si="14"/>
        <v>0</v>
      </c>
      <c r="AK23" s="316">
        <f t="shared" si="14"/>
        <v>0</v>
      </c>
      <c r="AL23" s="316">
        <f t="shared" si="14"/>
        <v>0</v>
      </c>
      <c r="AM23" s="316">
        <f t="shared" si="14"/>
        <v>0</v>
      </c>
      <c r="AN23" s="316">
        <f t="shared" si="14"/>
        <v>0</v>
      </c>
      <c r="AO23" s="316">
        <f t="shared" si="14"/>
        <v>0</v>
      </c>
      <c r="AP23" s="58"/>
      <c r="AQ23" s="271">
        <f t="shared" ref="AQ23" si="15">SUM(AQ20:AQ21)</f>
        <v>-105000</v>
      </c>
      <c r="AR23" s="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</row>
    <row r="24" spans="1:72" ht="12.75" customHeight="1" x14ac:dyDescent="0.2">
      <c r="B24" s="145"/>
      <c r="C24" s="149"/>
      <c r="D24" s="254"/>
      <c r="E24" s="254"/>
      <c r="F24" s="254"/>
      <c r="G24" s="275"/>
      <c r="H24" s="275"/>
      <c r="I24" s="275"/>
      <c r="J24" s="275"/>
      <c r="K24" s="275"/>
      <c r="L24" s="275"/>
      <c r="M24" s="275"/>
      <c r="N24" s="275"/>
      <c r="O24" s="275"/>
      <c r="P24" s="275"/>
      <c r="Q24" s="275"/>
      <c r="R24" s="275"/>
      <c r="S24" s="254"/>
      <c r="T24" s="275"/>
      <c r="U24" s="275"/>
      <c r="V24" s="275"/>
      <c r="W24" s="255"/>
      <c r="X24" s="275"/>
      <c r="Y24" s="275"/>
      <c r="Z24" s="255"/>
      <c r="AA24" s="275"/>
      <c r="AB24" s="276"/>
      <c r="AC24" s="276"/>
      <c r="AD24" s="276"/>
      <c r="AE24" s="275"/>
      <c r="AF24" s="275"/>
      <c r="AG24" s="275"/>
      <c r="AH24" s="275"/>
      <c r="AI24" s="275"/>
      <c r="AJ24" s="275"/>
      <c r="AK24" s="275"/>
      <c r="AL24" s="275"/>
      <c r="AM24" s="275"/>
      <c r="AN24" s="275"/>
      <c r="AO24" s="275"/>
      <c r="AP24" s="58"/>
      <c r="AQ24" s="275"/>
    </row>
    <row r="25" spans="1:72" s="27" customFormat="1" ht="12.75" customHeight="1" x14ac:dyDescent="0.2">
      <c r="A25" s="1"/>
      <c r="B25" s="262" t="s">
        <v>169</v>
      </c>
      <c r="C25" s="263"/>
      <c r="D25" s="264"/>
      <c r="E25" s="264"/>
      <c r="F25" s="264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279"/>
      <c r="R25" s="279"/>
      <c r="S25" s="280"/>
      <c r="T25" s="279"/>
      <c r="U25" s="279"/>
      <c r="V25" s="279"/>
      <c r="W25" s="281"/>
      <c r="X25" s="279"/>
      <c r="Y25" s="279"/>
      <c r="Z25" s="281"/>
      <c r="AA25" s="279"/>
      <c r="AB25" s="282"/>
      <c r="AC25" s="282"/>
      <c r="AD25" s="282"/>
      <c r="AE25" s="279"/>
      <c r="AF25" s="279"/>
      <c r="AG25" s="279"/>
      <c r="AH25" s="279"/>
      <c r="AI25" s="279"/>
      <c r="AJ25" s="279"/>
      <c r="AK25" s="279"/>
      <c r="AL25" s="279"/>
      <c r="AM25" s="279"/>
      <c r="AN25" s="279"/>
      <c r="AO25" s="279"/>
      <c r="AP25" s="58"/>
      <c r="AQ25" s="279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</row>
    <row r="26" spans="1:72" ht="12.75" customHeight="1" x14ac:dyDescent="0.2">
      <c r="B26" s="134" t="s">
        <v>171</v>
      </c>
      <c r="C26" s="135" t="s">
        <v>172</v>
      </c>
      <c r="D26" s="136">
        <v>8146</v>
      </c>
      <c r="E26" s="136">
        <v>8320</v>
      </c>
      <c r="F26" s="136">
        <v>7210</v>
      </c>
      <c r="G26" s="133">
        <f>SUM(M26,U26:AA26,AQ26)</f>
        <v>-90000</v>
      </c>
      <c r="H26" s="133"/>
      <c r="I26" s="133"/>
      <c r="J26" s="133">
        <v>0</v>
      </c>
      <c r="K26" s="133">
        <v>0</v>
      </c>
      <c r="L26" s="133"/>
      <c r="M26" s="133"/>
      <c r="N26" s="133">
        <v>-40000</v>
      </c>
      <c r="O26" s="133">
        <v>0</v>
      </c>
      <c r="P26" s="133">
        <f>N26+O26</f>
        <v>-40000</v>
      </c>
      <c r="Q26" s="133">
        <v>-6500</v>
      </c>
      <c r="R26" s="137">
        <f t="shared" ref="R26:R40" si="16">Q26/P26</f>
        <v>0.16250000000000001</v>
      </c>
      <c r="S26" s="140">
        <v>44593</v>
      </c>
      <c r="T26" s="141" t="s">
        <v>173</v>
      </c>
      <c r="U26" s="133">
        <v>-50000</v>
      </c>
      <c r="V26" s="133"/>
      <c r="W26" s="143"/>
      <c r="X26" s="307"/>
      <c r="Y26" s="133"/>
      <c r="Z26" s="143"/>
      <c r="AA26" s="307"/>
      <c r="AB26" s="269"/>
      <c r="AC26" s="269"/>
      <c r="AD26" s="269"/>
      <c r="AE26" s="133"/>
      <c r="AF26" s="133"/>
      <c r="AG26" s="133"/>
      <c r="AH26" s="133"/>
      <c r="AI26" s="133"/>
      <c r="AJ26" s="133"/>
      <c r="AK26" s="133"/>
      <c r="AL26" s="133"/>
      <c r="AM26" s="133">
        <f>G26/20</f>
        <v>-4500</v>
      </c>
      <c r="AN26" s="133"/>
      <c r="AO26" s="133"/>
      <c r="AP26" s="58"/>
      <c r="AQ26" s="133">
        <v>-40000</v>
      </c>
    </row>
    <row r="27" spans="1:72" ht="12.75" hidden="1" customHeight="1" x14ac:dyDescent="0.2">
      <c r="B27" s="134" t="s">
        <v>34</v>
      </c>
      <c r="C27" s="135"/>
      <c r="D27" s="136"/>
      <c r="E27" s="136"/>
      <c r="F27" s="136"/>
      <c r="G27" s="133">
        <f t="shared" ref="G27:G40" si="17">SUM(M27,U27:AA27,AQ27)</f>
        <v>0</v>
      </c>
      <c r="H27" s="133"/>
      <c r="I27" s="133"/>
      <c r="J27" s="133">
        <v>-30000</v>
      </c>
      <c r="K27" s="133">
        <v>-32743</v>
      </c>
      <c r="L27" s="133"/>
      <c r="M27" s="133"/>
      <c r="N27" s="133"/>
      <c r="O27" s="133">
        <v>0</v>
      </c>
      <c r="P27" s="133">
        <f t="shared" ref="P27:P40" si="18">N27+O27</f>
        <v>0</v>
      </c>
      <c r="Q27" s="133"/>
      <c r="R27" s="137" t="e">
        <f t="shared" si="16"/>
        <v>#DIV/0!</v>
      </c>
      <c r="S27" s="136"/>
      <c r="T27" s="141"/>
      <c r="U27" s="133"/>
      <c r="V27" s="133"/>
      <c r="W27" s="143"/>
      <c r="X27" s="133"/>
      <c r="Y27" s="133"/>
      <c r="Z27" s="143"/>
      <c r="AA27" s="133"/>
      <c r="AB27" s="269"/>
      <c r="AC27" s="269"/>
      <c r="AD27" s="269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58"/>
      <c r="AQ27" s="133"/>
    </row>
    <row r="28" spans="1:72" ht="12.75" customHeight="1" x14ac:dyDescent="0.2">
      <c r="B28" s="134" t="s">
        <v>175</v>
      </c>
      <c r="C28" s="135" t="s">
        <v>172</v>
      </c>
      <c r="D28" s="136">
        <v>8121</v>
      </c>
      <c r="E28" s="136">
        <v>8310</v>
      </c>
      <c r="F28" s="136">
        <v>7241</v>
      </c>
      <c r="G28" s="133">
        <f t="shared" si="17"/>
        <v>-99879.5</v>
      </c>
      <c r="H28" s="133"/>
      <c r="I28" s="133"/>
      <c r="J28" s="133"/>
      <c r="K28" s="133"/>
      <c r="L28" s="133">
        <v>-40000</v>
      </c>
      <c r="M28" s="133">
        <v>-39879.5</v>
      </c>
      <c r="N28" s="133">
        <v>-55000</v>
      </c>
      <c r="O28" s="133">
        <v>0</v>
      </c>
      <c r="P28" s="133">
        <f t="shared" si="18"/>
        <v>-55000</v>
      </c>
      <c r="Q28" s="133">
        <v>-14183</v>
      </c>
      <c r="R28" s="137">
        <f t="shared" si="16"/>
        <v>0.25787272727272725</v>
      </c>
      <c r="S28" s="140">
        <v>44593</v>
      </c>
      <c r="T28" s="141" t="s">
        <v>173</v>
      </c>
      <c r="U28" s="133"/>
      <c r="V28" s="133"/>
      <c r="W28" s="143"/>
      <c r="X28" s="133"/>
      <c r="Y28" s="133"/>
      <c r="Z28" s="143"/>
      <c r="AA28" s="133"/>
      <c r="AB28" s="269"/>
      <c r="AC28" s="269"/>
      <c r="AD28" s="269"/>
      <c r="AE28" s="133"/>
      <c r="AF28" s="133"/>
      <c r="AG28" s="133"/>
      <c r="AH28" s="133"/>
      <c r="AI28" s="133"/>
      <c r="AJ28" s="133"/>
      <c r="AK28" s="133">
        <f>G28/20</f>
        <v>-4993.9750000000004</v>
      </c>
      <c r="AL28" s="133"/>
      <c r="AM28" s="133"/>
      <c r="AN28" s="133"/>
      <c r="AO28" s="133"/>
      <c r="AP28" s="58"/>
      <c r="AQ28" s="133">
        <v>-60000</v>
      </c>
    </row>
    <row r="29" spans="1:72" ht="12.75" hidden="1" customHeight="1" x14ac:dyDescent="0.2">
      <c r="B29" s="134" t="s">
        <v>29</v>
      </c>
      <c r="C29" s="135" t="s">
        <v>172</v>
      </c>
      <c r="D29" s="136">
        <v>8147</v>
      </c>
      <c r="E29" s="136"/>
      <c r="F29" s="136"/>
      <c r="G29" s="133">
        <f t="shared" si="17"/>
        <v>0</v>
      </c>
      <c r="H29" s="284">
        <v>13009</v>
      </c>
      <c r="I29" s="133">
        <v>52891</v>
      </c>
      <c r="J29" s="284"/>
      <c r="K29" s="133"/>
      <c r="L29" s="133"/>
      <c r="M29" s="133"/>
      <c r="N29" s="133"/>
      <c r="O29" s="133">
        <v>0</v>
      </c>
      <c r="P29" s="133">
        <f t="shared" si="18"/>
        <v>0</v>
      </c>
      <c r="Q29" s="133"/>
      <c r="R29" s="137" t="e">
        <f t="shared" si="16"/>
        <v>#DIV/0!</v>
      </c>
      <c r="S29" s="136"/>
      <c r="T29" s="141"/>
      <c r="U29" s="133"/>
      <c r="V29" s="133"/>
      <c r="W29" s="143"/>
      <c r="X29" s="133"/>
      <c r="Y29" s="133"/>
      <c r="Z29" s="143"/>
      <c r="AA29" s="284"/>
      <c r="AB29" s="285"/>
      <c r="AC29" s="285"/>
      <c r="AD29" s="285"/>
      <c r="AE29" s="284"/>
      <c r="AF29" s="284"/>
      <c r="AG29" s="284"/>
      <c r="AH29" s="284"/>
      <c r="AI29" s="284"/>
      <c r="AJ29" s="286" t="s">
        <v>160</v>
      </c>
      <c r="AK29" s="133"/>
      <c r="AL29" s="133"/>
      <c r="AM29" s="133"/>
      <c r="AN29" s="133"/>
      <c r="AO29" s="133"/>
      <c r="AP29" s="58"/>
      <c r="AQ29" s="284"/>
    </row>
    <row r="30" spans="1:72" ht="12.75" customHeight="1" x14ac:dyDescent="0.2">
      <c r="B30" s="134" t="s">
        <v>176</v>
      </c>
      <c r="C30" s="135" t="s">
        <v>172</v>
      </c>
      <c r="D30" s="136">
        <v>8148</v>
      </c>
      <c r="E30" s="136">
        <v>8320</v>
      </c>
      <c r="F30" s="136">
        <v>7216</v>
      </c>
      <c r="G30" s="133">
        <f t="shared" si="17"/>
        <v>-50000</v>
      </c>
      <c r="H30" s="133">
        <v>0</v>
      </c>
      <c r="I30" s="133">
        <v>142000</v>
      </c>
      <c r="J30" s="133"/>
      <c r="K30" s="133"/>
      <c r="L30" s="133"/>
      <c r="M30" s="133"/>
      <c r="N30" s="133">
        <v>-50000</v>
      </c>
      <c r="O30" s="133">
        <v>0</v>
      </c>
      <c r="P30" s="133">
        <f t="shared" si="18"/>
        <v>-50000</v>
      </c>
      <c r="Q30" s="133">
        <v>0</v>
      </c>
      <c r="R30" s="137">
        <f t="shared" si="16"/>
        <v>0</v>
      </c>
      <c r="S30" s="288" t="s">
        <v>177</v>
      </c>
      <c r="T30" s="141" t="s">
        <v>173</v>
      </c>
      <c r="U30" s="133"/>
      <c r="V30" s="133"/>
      <c r="W30" s="143"/>
      <c r="X30" s="133"/>
      <c r="Y30" s="133"/>
      <c r="Z30" s="143"/>
      <c r="AA30" s="133"/>
      <c r="AB30" s="269"/>
      <c r="AC30" s="269"/>
      <c r="AD30" s="269"/>
      <c r="AE30" s="133"/>
      <c r="AF30" s="133"/>
      <c r="AG30" s="133"/>
      <c r="AH30" s="133"/>
      <c r="AI30" s="133"/>
      <c r="AJ30" s="133"/>
      <c r="AK30" s="133">
        <f>N30/20</f>
        <v>-2500</v>
      </c>
      <c r="AL30" s="133"/>
      <c r="AM30" s="133"/>
      <c r="AN30" s="133"/>
      <c r="AO30" s="133"/>
      <c r="AP30" s="58"/>
      <c r="AQ30" s="133">
        <v>-50000</v>
      </c>
    </row>
    <row r="31" spans="1:72" ht="12.75" customHeight="1" x14ac:dyDescent="0.2">
      <c r="B31" s="134" t="s">
        <v>178</v>
      </c>
      <c r="C31" s="135" t="s">
        <v>172</v>
      </c>
      <c r="D31" s="136">
        <v>8101</v>
      </c>
      <c r="E31" s="136">
        <v>8320</v>
      </c>
      <c r="F31" s="136">
        <v>7211</v>
      </c>
      <c r="G31" s="133">
        <f t="shared" si="17"/>
        <v>-376216.08</v>
      </c>
      <c r="H31" s="133"/>
      <c r="I31" s="133"/>
      <c r="J31" s="133">
        <v>-110000</v>
      </c>
      <c r="K31" s="133">
        <v>-65048</v>
      </c>
      <c r="L31" s="133">
        <v>-50000</v>
      </c>
      <c r="M31" s="133">
        <v>-56216.08</v>
      </c>
      <c r="N31" s="133">
        <v>-60000</v>
      </c>
      <c r="O31" s="289">
        <v>-60000</v>
      </c>
      <c r="P31" s="289">
        <f t="shared" si="18"/>
        <v>-120000</v>
      </c>
      <c r="Q31" s="133">
        <v>-2281.17</v>
      </c>
      <c r="R31" s="137">
        <f t="shared" si="16"/>
        <v>1.9009750000000002E-2</v>
      </c>
      <c r="S31" s="140">
        <v>44593</v>
      </c>
      <c r="T31" s="141" t="s">
        <v>173</v>
      </c>
      <c r="U31" s="307"/>
      <c r="V31" s="133"/>
      <c r="W31" s="143"/>
      <c r="X31" s="133">
        <v>-100000</v>
      </c>
      <c r="Y31" s="133"/>
      <c r="Z31" s="143"/>
      <c r="AA31" s="133">
        <v>-100000</v>
      </c>
      <c r="AB31" s="269"/>
      <c r="AC31" s="269"/>
      <c r="AD31" s="269"/>
      <c r="AE31" s="133"/>
      <c r="AF31" s="133"/>
      <c r="AG31" s="133"/>
      <c r="AH31" s="133"/>
      <c r="AI31" s="133"/>
      <c r="AJ31" s="133"/>
      <c r="AK31" s="133"/>
      <c r="AL31" s="133"/>
      <c r="AM31" s="133">
        <f>G31/20</f>
        <v>-18810.804</v>
      </c>
      <c r="AN31" s="133"/>
      <c r="AO31" s="133"/>
      <c r="AP31" s="58"/>
      <c r="AQ31" s="133">
        <v>-120000</v>
      </c>
    </row>
    <row r="32" spans="1:72" ht="12.75" customHeight="1" x14ac:dyDescent="0.2">
      <c r="B32" s="134" t="s">
        <v>179</v>
      </c>
      <c r="C32" s="135" t="s">
        <v>172</v>
      </c>
      <c r="D32" s="136">
        <v>8102</v>
      </c>
      <c r="E32" s="136">
        <v>8320</v>
      </c>
      <c r="F32" s="136">
        <v>7212</v>
      </c>
      <c r="G32" s="133">
        <f t="shared" si="17"/>
        <v>-175000</v>
      </c>
      <c r="H32" s="133"/>
      <c r="I32" s="133"/>
      <c r="J32" s="133">
        <v>-30000</v>
      </c>
      <c r="K32" s="133">
        <v>-18764</v>
      </c>
      <c r="L32" s="133"/>
      <c r="M32" s="133"/>
      <c r="N32" s="133">
        <v>-50000</v>
      </c>
      <c r="O32" s="133">
        <v>0</v>
      </c>
      <c r="P32" s="133">
        <f t="shared" si="18"/>
        <v>-50000</v>
      </c>
      <c r="Q32" s="133">
        <v>-21208.18</v>
      </c>
      <c r="R32" s="137">
        <f t="shared" si="16"/>
        <v>0.42416360000000003</v>
      </c>
      <c r="S32" s="140">
        <v>44593</v>
      </c>
      <c r="T32" s="141" t="s">
        <v>173</v>
      </c>
      <c r="U32" s="133">
        <v>-75000</v>
      </c>
      <c r="V32" s="133"/>
      <c r="W32" s="143" t="s">
        <v>174</v>
      </c>
      <c r="X32" s="307"/>
      <c r="Y32" s="133"/>
      <c r="Z32" s="143"/>
      <c r="AA32" s="133">
        <v>-50000</v>
      </c>
      <c r="AB32" s="269"/>
      <c r="AC32" s="269"/>
      <c r="AD32" s="269"/>
      <c r="AE32" s="133"/>
      <c r="AF32" s="133"/>
      <c r="AG32" s="133"/>
      <c r="AH32" s="133"/>
      <c r="AI32" s="133"/>
      <c r="AJ32" s="133"/>
      <c r="AK32" s="133"/>
      <c r="AL32" s="133"/>
      <c r="AM32" s="133">
        <f>G32/20</f>
        <v>-8750</v>
      </c>
      <c r="AN32" s="133"/>
      <c r="AO32" s="133"/>
      <c r="AP32" s="58"/>
      <c r="AQ32" s="133">
        <v>-50000</v>
      </c>
    </row>
    <row r="33" spans="1:72" ht="13.5" customHeight="1" x14ac:dyDescent="0.2">
      <c r="B33" s="134" t="s">
        <v>181</v>
      </c>
      <c r="C33" s="135" t="s">
        <v>172</v>
      </c>
      <c r="D33" s="136">
        <v>8149</v>
      </c>
      <c r="E33" s="136">
        <v>8320</v>
      </c>
      <c r="F33" s="136">
        <v>7215</v>
      </c>
      <c r="G33" s="133">
        <f t="shared" si="17"/>
        <v>-90000</v>
      </c>
      <c r="H33" s="133"/>
      <c r="I33" s="133"/>
      <c r="J33" s="133"/>
      <c r="K33" s="133"/>
      <c r="L33" s="133"/>
      <c r="M33" s="133"/>
      <c r="N33" s="133">
        <v>-10000</v>
      </c>
      <c r="O33" s="133">
        <v>0</v>
      </c>
      <c r="P33" s="133">
        <f t="shared" si="18"/>
        <v>-10000</v>
      </c>
      <c r="Q33" s="133">
        <v>-2500</v>
      </c>
      <c r="R33" s="137">
        <f t="shared" si="16"/>
        <v>0.25</v>
      </c>
      <c r="S33" s="140">
        <v>44593</v>
      </c>
      <c r="T33" s="141" t="s">
        <v>173</v>
      </c>
      <c r="U33" s="133">
        <v>-20000</v>
      </c>
      <c r="V33" s="133"/>
      <c r="W33" s="143" t="s">
        <v>174</v>
      </c>
      <c r="X33" s="133">
        <v>-10000</v>
      </c>
      <c r="Y33" s="133"/>
      <c r="Z33" s="143"/>
      <c r="AA33" s="133">
        <v>-50000</v>
      </c>
      <c r="AB33" s="269"/>
      <c r="AC33" s="269"/>
      <c r="AD33" s="269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58"/>
      <c r="AQ33" s="133">
        <v>-10000</v>
      </c>
    </row>
    <row r="34" spans="1:72" ht="12.75" customHeight="1" x14ac:dyDescent="0.2">
      <c r="B34" s="134" t="s">
        <v>182</v>
      </c>
      <c r="C34" s="135" t="s">
        <v>172</v>
      </c>
      <c r="D34" s="136">
        <v>8150</v>
      </c>
      <c r="E34" s="136">
        <v>8310</v>
      </c>
      <c r="F34" s="136">
        <v>7240</v>
      </c>
      <c r="G34" s="133">
        <f t="shared" si="17"/>
        <v>-10000</v>
      </c>
      <c r="H34" s="133"/>
      <c r="I34" s="133"/>
      <c r="J34" s="133"/>
      <c r="K34" s="133"/>
      <c r="L34" s="133"/>
      <c r="M34" s="133"/>
      <c r="N34" s="133">
        <v>-10000</v>
      </c>
      <c r="O34" s="133">
        <v>0</v>
      </c>
      <c r="P34" s="133">
        <f t="shared" si="18"/>
        <v>-10000</v>
      </c>
      <c r="Q34" s="133">
        <v>-3500</v>
      </c>
      <c r="R34" s="137">
        <f t="shared" si="16"/>
        <v>0.35</v>
      </c>
      <c r="S34" s="140">
        <v>44593</v>
      </c>
      <c r="T34" s="141" t="s">
        <v>173</v>
      </c>
      <c r="U34" s="133"/>
      <c r="V34" s="133"/>
      <c r="W34" s="143"/>
      <c r="X34" s="133"/>
      <c r="Y34" s="133"/>
      <c r="Z34" s="143"/>
      <c r="AA34" s="133"/>
      <c r="AB34" s="269"/>
      <c r="AC34" s="269"/>
      <c r="AD34" s="269"/>
      <c r="AE34" s="133"/>
      <c r="AF34" s="133"/>
      <c r="AG34" s="133"/>
      <c r="AH34" s="133"/>
      <c r="AI34" s="133"/>
      <c r="AJ34" s="133"/>
      <c r="AK34" s="133">
        <f>G34/20</f>
        <v>-500</v>
      </c>
      <c r="AL34" s="133"/>
      <c r="AM34" s="133"/>
      <c r="AN34" s="133"/>
      <c r="AO34" s="133"/>
      <c r="AP34" s="58"/>
      <c r="AQ34" s="133">
        <v>-10000</v>
      </c>
    </row>
    <row r="35" spans="1:72" ht="25.5" customHeight="1" x14ac:dyDescent="0.2">
      <c r="B35" s="134" t="s">
        <v>184</v>
      </c>
      <c r="C35" s="135" t="s">
        <v>172</v>
      </c>
      <c r="D35" s="136">
        <v>8151</v>
      </c>
      <c r="E35" s="136">
        <v>8320</v>
      </c>
      <c r="F35" s="136">
        <v>7213</v>
      </c>
      <c r="G35" s="133">
        <f t="shared" si="17"/>
        <v>-80000</v>
      </c>
      <c r="H35" s="133"/>
      <c r="I35" s="133"/>
      <c r="J35" s="133"/>
      <c r="K35" s="133"/>
      <c r="L35" s="133"/>
      <c r="M35" s="133"/>
      <c r="N35" s="133">
        <v>-40000</v>
      </c>
      <c r="O35" s="133">
        <v>0</v>
      </c>
      <c r="P35" s="133">
        <f t="shared" si="18"/>
        <v>-40000</v>
      </c>
      <c r="Q35" s="133">
        <v>-13100.35</v>
      </c>
      <c r="R35" s="137">
        <f t="shared" si="16"/>
        <v>0.32750875000000002</v>
      </c>
      <c r="S35" s="140">
        <v>44593</v>
      </c>
      <c r="T35" s="141" t="s">
        <v>173</v>
      </c>
      <c r="U35" s="133">
        <v>-30000</v>
      </c>
      <c r="V35" s="133"/>
      <c r="W35" s="143" t="s">
        <v>174</v>
      </c>
      <c r="X35" s="133"/>
      <c r="Y35" s="133"/>
      <c r="Z35" s="143"/>
      <c r="AA35" s="133">
        <v>-10000</v>
      </c>
      <c r="AB35" s="269"/>
      <c r="AC35" s="269"/>
      <c r="AD35" s="269"/>
      <c r="AE35" s="133"/>
      <c r="AF35" s="133"/>
      <c r="AG35" s="133"/>
      <c r="AH35" s="133"/>
      <c r="AI35" s="133"/>
      <c r="AJ35" s="133"/>
      <c r="AK35" s="133"/>
      <c r="AL35" s="133">
        <f>(N35+U35)/20</f>
        <v>-3500</v>
      </c>
      <c r="AM35" s="133"/>
      <c r="AN35" s="133"/>
      <c r="AO35" s="133"/>
      <c r="AP35" s="58"/>
      <c r="AQ35" s="133">
        <v>-40000</v>
      </c>
    </row>
    <row r="36" spans="1:72" ht="12.75" hidden="1" customHeight="1" x14ac:dyDescent="0.2">
      <c r="B36" s="134" t="s">
        <v>187</v>
      </c>
      <c r="C36" s="135" t="s">
        <v>172</v>
      </c>
      <c r="D36" s="136">
        <v>8004</v>
      </c>
      <c r="E36" s="136" t="s">
        <v>188</v>
      </c>
      <c r="F36" s="136" t="s">
        <v>189</v>
      </c>
      <c r="G36" s="133">
        <f t="shared" si="17"/>
        <v>-4112.8999999999996</v>
      </c>
      <c r="H36" s="133"/>
      <c r="I36" s="133"/>
      <c r="J36" s="133"/>
      <c r="K36" s="133"/>
      <c r="L36" s="133">
        <v>-10000</v>
      </c>
      <c r="M36" s="133">
        <v>-4112.8999999999996</v>
      </c>
      <c r="N36" s="133"/>
      <c r="O36" s="133">
        <v>0</v>
      </c>
      <c r="P36" s="133">
        <f t="shared" si="18"/>
        <v>0</v>
      </c>
      <c r="Q36" s="133"/>
      <c r="R36" s="137" t="e">
        <f t="shared" si="16"/>
        <v>#DIV/0!</v>
      </c>
      <c r="S36" s="290"/>
      <c r="T36" s="291"/>
      <c r="U36" s="133"/>
      <c r="V36" s="133"/>
      <c r="W36" s="143"/>
      <c r="X36" s="133"/>
      <c r="Y36" s="133"/>
      <c r="Z36" s="143"/>
      <c r="AA36" s="133"/>
      <c r="AB36" s="269"/>
      <c r="AC36" s="269"/>
      <c r="AD36" s="269"/>
      <c r="AE36" s="133"/>
      <c r="AF36" s="133"/>
      <c r="AG36" s="133"/>
      <c r="AH36" s="133"/>
      <c r="AI36" s="133"/>
      <c r="AJ36" s="133" t="s">
        <v>158</v>
      </c>
      <c r="AK36" s="133"/>
      <c r="AL36" s="133"/>
      <c r="AM36" s="133"/>
      <c r="AN36" s="133"/>
      <c r="AO36" s="133"/>
      <c r="AP36" s="58"/>
      <c r="AQ36" s="133"/>
    </row>
    <row r="37" spans="1:72" ht="12.75" customHeight="1" x14ac:dyDescent="0.2">
      <c r="B37" s="134" t="s">
        <v>190</v>
      </c>
      <c r="C37" s="135" t="s">
        <v>172</v>
      </c>
      <c r="D37" s="136">
        <v>8152</v>
      </c>
      <c r="E37" s="136">
        <v>8340</v>
      </c>
      <c r="F37" s="136">
        <v>7287</v>
      </c>
      <c r="G37" s="133">
        <f t="shared" si="17"/>
        <v>-2000000</v>
      </c>
      <c r="H37" s="133"/>
      <c r="I37" s="133"/>
      <c r="J37" s="133"/>
      <c r="K37" s="133"/>
      <c r="L37" s="133"/>
      <c r="M37" s="133"/>
      <c r="N37" s="133">
        <v>-2000000</v>
      </c>
      <c r="O37" s="419">
        <v>2000000</v>
      </c>
      <c r="P37" s="133">
        <f t="shared" si="18"/>
        <v>0</v>
      </c>
      <c r="Q37" s="133">
        <v>0</v>
      </c>
      <c r="R37" s="137">
        <v>0</v>
      </c>
      <c r="S37" s="292">
        <v>44774</v>
      </c>
      <c r="T37" s="291"/>
      <c r="U37" s="419">
        <v>-2000000</v>
      </c>
      <c r="V37" s="133"/>
      <c r="W37" s="143"/>
      <c r="X37" s="133"/>
      <c r="Y37" s="133"/>
      <c r="Z37" s="143"/>
      <c r="AA37" s="133"/>
      <c r="AB37" s="269"/>
      <c r="AC37" s="269"/>
      <c r="AD37" s="269"/>
      <c r="AE37" s="133"/>
      <c r="AF37" s="133"/>
      <c r="AG37" s="133"/>
      <c r="AH37" s="133"/>
      <c r="AI37" s="133"/>
      <c r="AJ37" s="133"/>
      <c r="AK37" s="133">
        <f>N37/20</f>
        <v>-100000</v>
      </c>
      <c r="AL37" s="133"/>
      <c r="AM37" s="133"/>
      <c r="AN37" s="133"/>
      <c r="AO37" s="133"/>
      <c r="AP37" s="58"/>
      <c r="AQ37" s="133"/>
      <c r="AR37" s="122" t="s">
        <v>269</v>
      </c>
      <c r="AS37" s="122"/>
      <c r="AT37" s="122"/>
      <c r="AU37" s="122"/>
      <c r="AV37" s="122"/>
      <c r="AW37" s="122"/>
      <c r="AX37" s="122"/>
    </row>
    <row r="38" spans="1:72" ht="12.75" customHeight="1" x14ac:dyDescent="0.2">
      <c r="B38" s="293" t="s">
        <v>191</v>
      </c>
      <c r="C38" s="135" t="s">
        <v>172</v>
      </c>
      <c r="D38" s="136">
        <v>8153</v>
      </c>
      <c r="E38" s="136">
        <v>8410</v>
      </c>
      <c r="F38" s="136">
        <v>7150</v>
      </c>
      <c r="G38" s="133">
        <f t="shared" si="17"/>
        <v>-350000</v>
      </c>
      <c r="H38" s="133"/>
      <c r="I38" s="133"/>
      <c r="J38" s="133"/>
      <c r="K38" s="133"/>
      <c r="L38" s="133"/>
      <c r="M38" s="133"/>
      <c r="N38" s="133">
        <v>-200000</v>
      </c>
      <c r="O38" s="133">
        <v>0</v>
      </c>
      <c r="P38" s="133">
        <f t="shared" si="18"/>
        <v>-200000</v>
      </c>
      <c r="Q38" s="133">
        <v>-15908.85</v>
      </c>
      <c r="R38" s="137">
        <f t="shared" si="16"/>
        <v>7.9544249999999997E-2</v>
      </c>
      <c r="S38" s="292">
        <v>44682</v>
      </c>
      <c r="T38" s="141" t="s">
        <v>192</v>
      </c>
      <c r="U38" s="133">
        <v>-100000</v>
      </c>
      <c r="V38" s="133"/>
      <c r="W38" s="143"/>
      <c r="X38" s="133"/>
      <c r="Y38" s="133"/>
      <c r="Z38" s="143"/>
      <c r="AA38" s="133"/>
      <c r="AB38" s="269"/>
      <c r="AC38" s="269"/>
      <c r="AD38" s="269"/>
      <c r="AE38" s="133"/>
      <c r="AF38" s="133"/>
      <c r="AG38" s="133"/>
      <c r="AH38" s="133"/>
      <c r="AI38" s="133"/>
      <c r="AJ38" s="133"/>
      <c r="AK38" s="133">
        <f>N38/20</f>
        <v>-10000</v>
      </c>
      <c r="AL38" s="133"/>
      <c r="AM38" s="133"/>
      <c r="AN38" s="133"/>
      <c r="AO38" s="133"/>
      <c r="AP38" s="58"/>
      <c r="AQ38" s="133">
        <v>-250000</v>
      </c>
    </row>
    <row r="39" spans="1:72" ht="12.75" hidden="1" customHeight="1" x14ac:dyDescent="0.2">
      <c r="B39" s="293" t="s">
        <v>194</v>
      </c>
      <c r="C39" s="135"/>
      <c r="D39" s="136"/>
      <c r="E39" s="136"/>
      <c r="F39" s="136"/>
      <c r="G39" s="133">
        <f t="shared" si="17"/>
        <v>0</v>
      </c>
      <c r="H39" s="133">
        <v>0</v>
      </c>
      <c r="I39" s="133">
        <v>-21240</v>
      </c>
      <c r="J39" s="133"/>
      <c r="K39" s="133"/>
      <c r="L39" s="133"/>
      <c r="M39" s="133"/>
      <c r="N39" s="133"/>
      <c r="O39" s="133"/>
      <c r="P39" s="133"/>
      <c r="Q39" s="133"/>
      <c r="R39" s="133"/>
      <c r="S39" s="136"/>
      <c r="T39" s="133"/>
      <c r="U39" s="133"/>
      <c r="V39" s="133"/>
      <c r="W39" s="143"/>
      <c r="X39" s="133"/>
      <c r="Y39" s="133"/>
      <c r="Z39" s="143"/>
      <c r="AA39" s="133"/>
      <c r="AB39" s="269"/>
      <c r="AC39" s="269"/>
      <c r="AD39" s="269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58"/>
      <c r="AQ39" s="133"/>
    </row>
    <row r="40" spans="1:72" ht="12.75" customHeight="1" x14ac:dyDescent="0.2">
      <c r="B40" s="293" t="s">
        <v>196</v>
      </c>
      <c r="C40" s="135"/>
      <c r="D40" s="136">
        <v>8174</v>
      </c>
      <c r="E40" s="136">
        <v>8340</v>
      </c>
      <c r="F40" s="136">
        <v>7261</v>
      </c>
      <c r="G40" s="133">
        <f t="shared" si="17"/>
        <v>-10000</v>
      </c>
      <c r="H40" s="133"/>
      <c r="I40" s="133"/>
      <c r="J40" s="133"/>
      <c r="K40" s="133"/>
      <c r="L40" s="133"/>
      <c r="M40" s="133"/>
      <c r="N40" s="133">
        <v>0</v>
      </c>
      <c r="O40" s="289">
        <v>-10000</v>
      </c>
      <c r="P40" s="289">
        <f t="shared" si="18"/>
        <v>-10000</v>
      </c>
      <c r="Q40" s="133">
        <v>-8577.5499999999993</v>
      </c>
      <c r="R40" s="137">
        <f t="shared" si="16"/>
        <v>0.85775499999999993</v>
      </c>
      <c r="S40" s="140">
        <v>44743</v>
      </c>
      <c r="T40" s="140">
        <v>44926</v>
      </c>
      <c r="U40" s="133"/>
      <c r="V40" s="133"/>
      <c r="W40" s="143"/>
      <c r="X40" s="133"/>
      <c r="Y40" s="133"/>
      <c r="Z40" s="143"/>
      <c r="AA40" s="133"/>
      <c r="AB40" s="269"/>
      <c r="AC40" s="269"/>
      <c r="AD40" s="269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58"/>
      <c r="AQ40" s="132">
        <v>-10000</v>
      </c>
    </row>
    <row r="41" spans="1:72" ht="12.75" customHeight="1" x14ac:dyDescent="0.2">
      <c r="B41" s="343"/>
      <c r="C41" s="344"/>
      <c r="D41" s="345"/>
      <c r="E41" s="345"/>
      <c r="F41" s="345"/>
      <c r="G41" s="307"/>
      <c r="H41" s="307"/>
      <c r="I41" s="307"/>
      <c r="J41" s="307"/>
      <c r="K41" s="307"/>
      <c r="L41" s="307"/>
      <c r="M41" s="133"/>
      <c r="N41" s="133"/>
      <c r="O41" s="133"/>
      <c r="P41" s="133"/>
      <c r="Q41" s="133"/>
      <c r="R41" s="137"/>
      <c r="S41" s="136"/>
      <c r="T41" s="133"/>
      <c r="U41" s="307"/>
      <c r="V41" s="307"/>
      <c r="W41" s="303"/>
      <c r="X41" s="307"/>
      <c r="Y41" s="307"/>
      <c r="Z41" s="303"/>
      <c r="AA41" s="307"/>
      <c r="AB41" s="322"/>
      <c r="AC41" s="322"/>
      <c r="AD41" s="269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  <c r="AP41" s="58"/>
      <c r="AQ41" s="132"/>
    </row>
    <row r="42" spans="1:72" s="57" customFormat="1" ht="12.75" customHeight="1" x14ac:dyDescent="0.2">
      <c r="A42" s="7"/>
      <c r="B42" s="262" t="s">
        <v>197</v>
      </c>
      <c r="C42" s="263"/>
      <c r="D42" s="264"/>
      <c r="E42" s="264"/>
      <c r="F42" s="264"/>
      <c r="G42" s="271">
        <f t="shared" ref="G42:M42" si="19">SUM(G26,G28,G30,G31,G32,G33,G34,G35,G37,G38,G40,G41)</f>
        <v>-3331095.58</v>
      </c>
      <c r="H42" s="271">
        <f t="shared" si="19"/>
        <v>0</v>
      </c>
      <c r="I42" s="271">
        <f t="shared" si="19"/>
        <v>142000</v>
      </c>
      <c r="J42" s="271">
        <f t="shared" si="19"/>
        <v>-140000</v>
      </c>
      <c r="K42" s="271">
        <f t="shared" si="19"/>
        <v>-83812</v>
      </c>
      <c r="L42" s="271">
        <f t="shared" si="19"/>
        <v>-90000</v>
      </c>
      <c r="M42" s="271">
        <f t="shared" si="19"/>
        <v>-96095.58</v>
      </c>
      <c r="N42" s="271">
        <f>SUM(N26:N41)</f>
        <v>-2515000</v>
      </c>
      <c r="O42" s="271">
        <f>SUM(O26:O41)</f>
        <v>1930000</v>
      </c>
      <c r="P42" s="271">
        <f>SUM(P26:P41)</f>
        <v>-585000</v>
      </c>
      <c r="Q42" s="271">
        <f>SUM(Q26:Q41)</f>
        <v>-87759.1</v>
      </c>
      <c r="R42" s="272">
        <f t="shared" ref="R42" si="20">Q42/P42</f>
        <v>0.15001555555555557</v>
      </c>
      <c r="S42" s="271"/>
      <c r="T42" s="271"/>
      <c r="U42" s="271">
        <f>SUM(U26:U41)</f>
        <v>-2275000</v>
      </c>
      <c r="V42" s="271"/>
      <c r="W42" s="266"/>
      <c r="X42" s="271">
        <f>SUM(X26:X41)</f>
        <v>-110000</v>
      </c>
      <c r="Y42" s="271"/>
      <c r="Z42" s="266"/>
      <c r="AA42" s="271">
        <f>SUM(AA26:AA41)</f>
        <v>-210000</v>
      </c>
      <c r="AB42" s="273"/>
      <c r="AC42" s="273"/>
      <c r="AD42" s="273">
        <f t="shared" ref="AD42:AO42" si="21">SUM(AD26:AD39)</f>
        <v>0</v>
      </c>
      <c r="AE42" s="271">
        <f t="shared" si="21"/>
        <v>0</v>
      </c>
      <c r="AF42" s="271">
        <f t="shared" si="21"/>
        <v>0</v>
      </c>
      <c r="AG42" s="271">
        <f t="shared" si="21"/>
        <v>0</v>
      </c>
      <c r="AH42" s="271">
        <f t="shared" si="21"/>
        <v>0</v>
      </c>
      <c r="AI42" s="271">
        <f t="shared" si="21"/>
        <v>0</v>
      </c>
      <c r="AJ42" s="271">
        <f t="shared" si="21"/>
        <v>0</v>
      </c>
      <c r="AK42" s="271">
        <f t="shared" si="21"/>
        <v>-117993.97500000001</v>
      </c>
      <c r="AL42" s="271">
        <f t="shared" si="21"/>
        <v>-3500</v>
      </c>
      <c r="AM42" s="271">
        <f t="shared" si="21"/>
        <v>-32060.804</v>
      </c>
      <c r="AN42" s="271">
        <f t="shared" si="21"/>
        <v>0</v>
      </c>
      <c r="AO42" s="271">
        <f t="shared" si="21"/>
        <v>0</v>
      </c>
      <c r="AP42" s="58"/>
      <c r="AQ42" s="271">
        <f>SUM(AQ26:AQ41)</f>
        <v>-640000</v>
      </c>
      <c r="AR42" s="1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</row>
    <row r="43" spans="1:72" s="7" customFormat="1" ht="12.75" customHeight="1" x14ac:dyDescent="0.2">
      <c r="B43" s="145"/>
      <c r="C43" s="149"/>
      <c r="D43" s="254"/>
      <c r="E43" s="254"/>
      <c r="F43" s="254"/>
      <c r="G43" s="275"/>
      <c r="H43" s="275"/>
      <c r="I43" s="275"/>
      <c r="J43" s="275"/>
      <c r="K43" s="275"/>
      <c r="L43" s="275"/>
      <c r="M43" s="275"/>
      <c r="N43" s="275"/>
      <c r="O43" s="275"/>
      <c r="P43" s="275"/>
      <c r="Q43" s="275"/>
      <c r="R43" s="275"/>
      <c r="S43" s="254"/>
      <c r="T43" s="275"/>
      <c r="U43" s="275"/>
      <c r="V43" s="275"/>
      <c r="W43" s="255"/>
      <c r="X43" s="275"/>
      <c r="Y43" s="275"/>
      <c r="Z43" s="255"/>
      <c r="AA43" s="275"/>
      <c r="AB43" s="276"/>
      <c r="AC43" s="276"/>
      <c r="AD43" s="276"/>
      <c r="AE43" s="275"/>
      <c r="AF43" s="275"/>
      <c r="AG43" s="275"/>
      <c r="AH43" s="275"/>
      <c r="AI43" s="275"/>
      <c r="AJ43" s="275"/>
      <c r="AK43" s="275"/>
      <c r="AL43" s="275"/>
      <c r="AM43" s="275"/>
      <c r="AN43" s="275"/>
      <c r="AO43" s="275"/>
      <c r="AP43" s="58"/>
      <c r="AQ43" s="275"/>
      <c r="AR43" s="1"/>
    </row>
    <row r="44" spans="1:72" s="7" customFormat="1" ht="39" customHeight="1" x14ac:dyDescent="0.2">
      <c r="B44" s="243"/>
      <c r="C44" s="244" t="s">
        <v>2</v>
      </c>
      <c r="D44" s="251" t="s">
        <v>136</v>
      </c>
      <c r="E44" s="247" t="s">
        <v>137</v>
      </c>
      <c r="F44" s="247" t="s">
        <v>138</v>
      </c>
      <c r="G44" s="246" t="s">
        <v>139</v>
      </c>
      <c r="H44" s="247" t="s">
        <v>140</v>
      </c>
      <c r="I44" s="247" t="s">
        <v>141</v>
      </c>
      <c r="J44" s="247" t="s">
        <v>142</v>
      </c>
      <c r="K44" s="247" t="s">
        <v>143</v>
      </c>
      <c r="L44" s="247" t="s">
        <v>144</v>
      </c>
      <c r="M44" s="246" t="s">
        <v>145</v>
      </c>
      <c r="N44" s="246" t="s">
        <v>146</v>
      </c>
      <c r="O44" s="246" t="s">
        <v>147</v>
      </c>
      <c r="P44" s="246" t="s">
        <v>148</v>
      </c>
      <c r="Q44" s="246" t="s">
        <v>149</v>
      </c>
      <c r="R44" s="246" t="s">
        <v>150</v>
      </c>
      <c r="S44" s="246" t="s">
        <v>151</v>
      </c>
      <c r="T44" s="246" t="s">
        <v>152</v>
      </c>
      <c r="U44" s="246" t="s">
        <v>153</v>
      </c>
      <c r="V44" s="246" t="s">
        <v>151</v>
      </c>
      <c r="W44" s="248" t="s">
        <v>152</v>
      </c>
      <c r="X44" s="246" t="s">
        <v>154</v>
      </c>
      <c r="Y44" s="246" t="s">
        <v>151</v>
      </c>
      <c r="Z44" s="248" t="s">
        <v>152</v>
      </c>
      <c r="AA44" s="246">
        <v>2025</v>
      </c>
      <c r="AB44" s="246" t="s">
        <v>151</v>
      </c>
      <c r="AC44" s="246" t="s">
        <v>152</v>
      </c>
      <c r="AD44" s="276"/>
      <c r="AE44" s="275"/>
      <c r="AF44" s="275"/>
      <c r="AG44" s="275"/>
      <c r="AH44" s="275"/>
      <c r="AI44" s="275"/>
      <c r="AJ44" s="275"/>
      <c r="AK44" s="275"/>
      <c r="AL44" s="275"/>
      <c r="AM44" s="275"/>
      <c r="AN44" s="275"/>
      <c r="AO44" s="275"/>
      <c r="AP44" s="58"/>
      <c r="AQ44" s="246" t="s">
        <v>253</v>
      </c>
      <c r="AR44" s="1"/>
    </row>
    <row r="45" spans="1:72" s="27" customFormat="1" ht="12.75" customHeight="1" x14ac:dyDescent="0.2">
      <c r="A45" s="1"/>
      <c r="B45" s="262" t="s">
        <v>200</v>
      </c>
      <c r="C45" s="263"/>
      <c r="D45" s="264"/>
      <c r="E45" s="264"/>
      <c r="F45" s="264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279"/>
      <c r="R45" s="279"/>
      <c r="S45" s="280"/>
      <c r="T45" s="279"/>
      <c r="U45" s="279"/>
      <c r="V45" s="279"/>
      <c r="W45" s="281"/>
      <c r="X45" s="279"/>
      <c r="Y45" s="279"/>
      <c r="Z45" s="281"/>
      <c r="AA45" s="279"/>
      <c r="AB45" s="282"/>
      <c r="AC45" s="282"/>
      <c r="AD45" s="282"/>
      <c r="AE45" s="279"/>
      <c r="AF45" s="279"/>
      <c r="AG45" s="279"/>
      <c r="AH45" s="279"/>
      <c r="AI45" s="279"/>
      <c r="AJ45" s="279"/>
      <c r="AK45" s="279"/>
      <c r="AL45" s="279"/>
      <c r="AM45" s="279"/>
      <c r="AN45" s="279"/>
      <c r="AO45" s="279"/>
      <c r="AP45" s="58"/>
      <c r="AQ45" s="279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</row>
    <row r="46" spans="1:72" s="27" customFormat="1" ht="12.75" hidden="1" customHeight="1" x14ac:dyDescent="0.2">
      <c r="A46" s="1"/>
      <c r="B46" s="134" t="s">
        <v>202</v>
      </c>
      <c r="C46" s="149"/>
      <c r="D46" s="136">
        <v>8122</v>
      </c>
      <c r="E46" s="136">
        <v>8400</v>
      </c>
      <c r="F46" s="136">
        <v>7110</v>
      </c>
      <c r="G46" s="297">
        <f>SUM(I46,K46,M46:AA46)</f>
        <v>-47381.34</v>
      </c>
      <c r="H46" s="297"/>
      <c r="I46" s="297"/>
      <c r="J46" s="297"/>
      <c r="K46" s="297"/>
      <c r="L46" s="297">
        <v>-47381</v>
      </c>
      <c r="M46" s="297">
        <v>-47381.34</v>
      </c>
      <c r="N46" s="297"/>
      <c r="O46" s="297"/>
      <c r="P46" s="297"/>
      <c r="Q46" s="297"/>
      <c r="R46" s="297"/>
      <c r="S46" s="268"/>
      <c r="T46" s="297"/>
      <c r="U46" s="297"/>
      <c r="V46" s="297"/>
      <c r="W46" s="346"/>
      <c r="X46" s="297"/>
      <c r="Y46" s="297"/>
      <c r="Z46" s="346"/>
      <c r="AA46" s="297"/>
      <c r="AB46" s="347"/>
      <c r="AC46" s="347"/>
      <c r="AD46" s="347"/>
      <c r="AE46" s="297"/>
      <c r="AF46" s="297"/>
      <c r="AG46" s="297"/>
      <c r="AH46" s="297"/>
      <c r="AI46" s="297"/>
      <c r="AJ46" s="297">
        <f t="shared" ref="AJ46:AJ65" si="22">L46*0.15</f>
        <v>-7107.15</v>
      </c>
      <c r="AK46" s="297">
        <f t="shared" ref="AK46:AK65" si="23">N46*0.15+(L46-AJ46)*0.15</f>
        <v>-6041.0774999999994</v>
      </c>
      <c r="AL46" s="297">
        <f t="shared" ref="AL46:AL65" si="24">U46*0.15+(N46-N46*0.15)*0.15+(L46-AJ46-(L46-AJ46)*0.15)*0.15</f>
        <v>-5134.9158749999997</v>
      </c>
      <c r="AM46" s="297"/>
      <c r="AN46" s="297"/>
      <c r="AO46" s="297"/>
      <c r="AP46" s="58"/>
      <c r="AQ46" s="297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</row>
    <row r="47" spans="1:72" ht="12.75" customHeight="1" x14ac:dyDescent="0.2">
      <c r="B47" s="134" t="s">
        <v>203</v>
      </c>
      <c r="C47" s="135"/>
      <c r="D47" s="136">
        <v>8154</v>
      </c>
      <c r="E47" s="136">
        <v>8450</v>
      </c>
      <c r="F47" s="136">
        <v>7115</v>
      </c>
      <c r="G47" s="133">
        <f t="shared" ref="G47:G67" si="25">SUM(M47,U47:AA47,AQ47)</f>
        <v>-320000</v>
      </c>
      <c r="H47" s="301"/>
      <c r="I47" s="132"/>
      <c r="J47" s="301"/>
      <c r="K47" s="132"/>
      <c r="L47" s="132"/>
      <c r="M47" s="297"/>
      <c r="N47" s="297">
        <v>-20000</v>
      </c>
      <c r="O47" s="297">
        <v>0</v>
      </c>
      <c r="P47" s="297">
        <f t="shared" ref="P47:P66" si="26">N47+O47</f>
        <v>-20000</v>
      </c>
      <c r="Q47" s="297">
        <v>0</v>
      </c>
      <c r="R47" s="137">
        <f t="shared" ref="R47:R71" si="27">Q47/P47</f>
        <v>0</v>
      </c>
      <c r="S47" s="302"/>
      <c r="T47" s="141" t="s">
        <v>173</v>
      </c>
      <c r="U47" s="132">
        <v>-300000</v>
      </c>
      <c r="V47" s="132"/>
      <c r="W47" s="143" t="s">
        <v>174</v>
      </c>
      <c r="X47" s="132"/>
      <c r="Y47" s="132"/>
      <c r="Z47" s="138"/>
      <c r="AA47" s="301"/>
      <c r="AB47" s="348"/>
      <c r="AC47" s="348"/>
      <c r="AD47" s="348"/>
      <c r="AE47" s="301"/>
      <c r="AF47" s="301"/>
      <c r="AG47" s="301"/>
      <c r="AH47" s="301"/>
      <c r="AI47" s="301"/>
      <c r="AJ47" s="133">
        <f t="shared" si="22"/>
        <v>0</v>
      </c>
      <c r="AK47" s="133">
        <f t="shared" si="23"/>
        <v>-3000</v>
      </c>
      <c r="AL47" s="133">
        <f t="shared" si="24"/>
        <v>-47550</v>
      </c>
      <c r="AM47" s="133"/>
      <c r="AN47" s="133"/>
      <c r="AO47" s="133"/>
      <c r="AP47" s="58"/>
      <c r="AQ47" s="311">
        <v>-20000</v>
      </c>
    </row>
    <row r="48" spans="1:72" ht="12.75" customHeight="1" x14ac:dyDescent="0.2">
      <c r="B48" s="134" t="s">
        <v>205</v>
      </c>
      <c r="C48" s="135"/>
      <c r="D48" s="136">
        <v>8123</v>
      </c>
      <c r="E48" s="136">
        <v>8400</v>
      </c>
      <c r="F48" s="136">
        <v>7110</v>
      </c>
      <c r="G48" s="133">
        <f t="shared" si="25"/>
        <v>-50819.5</v>
      </c>
      <c r="H48" s="301"/>
      <c r="I48" s="132"/>
      <c r="J48" s="301"/>
      <c r="K48" s="132"/>
      <c r="L48" s="132">
        <v>-30000</v>
      </c>
      <c r="M48" s="297">
        <v>-20819.5</v>
      </c>
      <c r="N48" s="297">
        <v>-30000</v>
      </c>
      <c r="O48" s="297">
        <v>0</v>
      </c>
      <c r="P48" s="297">
        <f t="shared" si="26"/>
        <v>-30000</v>
      </c>
      <c r="Q48" s="297">
        <v>0</v>
      </c>
      <c r="R48" s="137">
        <f t="shared" si="27"/>
        <v>0</v>
      </c>
      <c r="S48" s="302"/>
      <c r="T48" s="141" t="s">
        <v>173</v>
      </c>
      <c r="U48" s="132"/>
      <c r="V48" s="132"/>
      <c r="W48" s="138"/>
      <c r="X48" s="132"/>
      <c r="Y48" s="132"/>
      <c r="Z48" s="138"/>
      <c r="AA48" s="301"/>
      <c r="AB48" s="348"/>
      <c r="AC48" s="348"/>
      <c r="AD48" s="348"/>
      <c r="AE48" s="301"/>
      <c r="AF48" s="301"/>
      <c r="AG48" s="301"/>
      <c r="AH48" s="301"/>
      <c r="AI48" s="301"/>
      <c r="AJ48" s="133">
        <f t="shared" si="22"/>
        <v>-4500</v>
      </c>
      <c r="AK48" s="133">
        <f t="shared" si="23"/>
        <v>-8325</v>
      </c>
      <c r="AL48" s="133">
        <f t="shared" si="24"/>
        <v>-7076.25</v>
      </c>
      <c r="AM48" s="133"/>
      <c r="AN48" s="133"/>
      <c r="AO48" s="133"/>
      <c r="AP48" s="58"/>
      <c r="AQ48" s="311">
        <v>-30000</v>
      </c>
    </row>
    <row r="49" spans="1:72" ht="12.75" customHeight="1" x14ac:dyDescent="0.2">
      <c r="B49" s="134" t="s">
        <v>103</v>
      </c>
      <c r="C49" s="135" t="s">
        <v>9</v>
      </c>
      <c r="D49" s="136">
        <v>8103</v>
      </c>
      <c r="E49" s="136">
        <v>8400</v>
      </c>
      <c r="F49" s="136">
        <v>7110</v>
      </c>
      <c r="G49" s="133">
        <f t="shared" si="25"/>
        <v>-438320</v>
      </c>
      <c r="H49" s="132">
        <v>-50000</v>
      </c>
      <c r="I49" s="132">
        <v>-48258</v>
      </c>
      <c r="J49" s="132">
        <v>-50000</v>
      </c>
      <c r="K49" s="132">
        <v>-66821</v>
      </c>
      <c r="L49" s="132">
        <v>-50000</v>
      </c>
      <c r="M49" s="133">
        <v>-58320</v>
      </c>
      <c r="N49" s="133">
        <f>-50000-30000</f>
        <v>-80000</v>
      </c>
      <c r="O49" s="133">
        <v>0</v>
      </c>
      <c r="P49" s="133">
        <f t="shared" si="26"/>
        <v>-80000</v>
      </c>
      <c r="Q49" s="133">
        <v>-20907.580000000002</v>
      </c>
      <c r="R49" s="137">
        <f t="shared" si="27"/>
        <v>0.26134475000000001</v>
      </c>
      <c r="S49" s="288" t="s">
        <v>206</v>
      </c>
      <c r="T49" s="141" t="s">
        <v>173</v>
      </c>
      <c r="U49" s="132">
        <v>-100000</v>
      </c>
      <c r="V49" s="132"/>
      <c r="W49" s="143" t="s">
        <v>174</v>
      </c>
      <c r="X49" s="133">
        <v>-100000</v>
      </c>
      <c r="Y49" s="132"/>
      <c r="Z49" s="138"/>
      <c r="AA49" s="133">
        <v>-100000</v>
      </c>
      <c r="AB49" s="349"/>
      <c r="AC49" s="349"/>
      <c r="AD49" s="349"/>
      <c r="AE49" s="132"/>
      <c r="AF49" s="132"/>
      <c r="AG49" s="132"/>
      <c r="AH49" s="132"/>
      <c r="AI49" s="132"/>
      <c r="AJ49" s="133">
        <f t="shared" si="22"/>
        <v>-7500</v>
      </c>
      <c r="AK49" s="133">
        <f t="shared" si="23"/>
        <v>-18375</v>
      </c>
      <c r="AL49" s="133">
        <f t="shared" si="24"/>
        <v>-30618.75</v>
      </c>
      <c r="AM49" s="133"/>
      <c r="AN49" s="133"/>
      <c r="AO49" s="133"/>
      <c r="AP49" s="58"/>
      <c r="AQ49" s="132">
        <v>-80000</v>
      </c>
    </row>
    <row r="50" spans="1:72" ht="12.75" customHeight="1" x14ac:dyDescent="0.2">
      <c r="B50" s="350"/>
      <c r="C50" s="344"/>
      <c r="D50" s="345"/>
      <c r="E50" s="345"/>
      <c r="F50" s="345"/>
      <c r="G50" s="307"/>
      <c r="H50" s="312"/>
      <c r="I50" s="139"/>
      <c r="J50" s="312"/>
      <c r="K50" s="139"/>
      <c r="L50" s="139"/>
      <c r="M50" s="133"/>
      <c r="N50" s="133"/>
      <c r="O50" s="133"/>
      <c r="P50" s="133"/>
      <c r="Q50" s="133"/>
      <c r="R50" s="137"/>
      <c r="S50" s="290"/>
      <c r="T50" s="291"/>
      <c r="U50" s="139"/>
      <c r="V50" s="139"/>
      <c r="W50" s="304"/>
      <c r="X50" s="139"/>
      <c r="Y50" s="139"/>
      <c r="Z50" s="304"/>
      <c r="AA50" s="312"/>
      <c r="AB50" s="313"/>
      <c r="AC50" s="313"/>
      <c r="AD50" s="351"/>
      <c r="AE50" s="311"/>
      <c r="AF50" s="311"/>
      <c r="AG50" s="311"/>
      <c r="AH50" s="311"/>
      <c r="AI50" s="311"/>
      <c r="AJ50" s="133">
        <f t="shared" si="22"/>
        <v>0</v>
      </c>
      <c r="AK50" s="133">
        <f t="shared" si="23"/>
        <v>0</v>
      </c>
      <c r="AL50" s="133">
        <f t="shared" si="24"/>
        <v>0</v>
      </c>
      <c r="AM50" s="133"/>
      <c r="AN50" s="133"/>
      <c r="AO50" s="133"/>
      <c r="AP50" s="58"/>
      <c r="AQ50" s="311"/>
    </row>
    <row r="51" spans="1:72" ht="12.75" customHeight="1" x14ac:dyDescent="0.2">
      <c r="B51" s="134" t="s">
        <v>207</v>
      </c>
      <c r="C51" s="135"/>
      <c r="D51" s="136">
        <v>8109</v>
      </c>
      <c r="E51" s="136">
        <v>8400</v>
      </c>
      <c r="F51" s="136">
        <v>7110</v>
      </c>
      <c r="G51" s="133">
        <f t="shared" si="25"/>
        <v>-12050</v>
      </c>
      <c r="H51" s="132">
        <v>-100000</v>
      </c>
      <c r="I51" s="132">
        <v>0</v>
      </c>
      <c r="J51" s="132">
        <v>-40000</v>
      </c>
      <c r="K51" s="132">
        <v>-28720</v>
      </c>
      <c r="L51" s="132"/>
      <c r="M51" s="297"/>
      <c r="N51" s="297">
        <v>-400000</v>
      </c>
      <c r="O51" s="309">
        <v>387950</v>
      </c>
      <c r="P51" s="309">
        <f t="shared" si="26"/>
        <v>-12050</v>
      </c>
      <c r="Q51" s="297">
        <v>-12050</v>
      </c>
      <c r="R51" s="137">
        <f t="shared" si="27"/>
        <v>1</v>
      </c>
      <c r="S51" s="310">
        <v>44241</v>
      </c>
      <c r="T51" s="142" t="s">
        <v>173</v>
      </c>
      <c r="U51" s="132"/>
      <c r="V51" s="132"/>
      <c r="W51" s="138"/>
      <c r="X51" s="132"/>
      <c r="Y51" s="132"/>
      <c r="Z51" s="138"/>
      <c r="AA51" s="132"/>
      <c r="AB51" s="349"/>
      <c r="AC51" s="349"/>
      <c r="AD51" s="349"/>
      <c r="AE51" s="132"/>
      <c r="AF51" s="132"/>
      <c r="AG51" s="132"/>
      <c r="AH51" s="132"/>
      <c r="AI51" s="132"/>
      <c r="AJ51" s="133">
        <f t="shared" si="22"/>
        <v>0</v>
      </c>
      <c r="AK51" s="133">
        <f t="shared" si="23"/>
        <v>-60000</v>
      </c>
      <c r="AL51" s="133">
        <f t="shared" si="24"/>
        <v>-51000</v>
      </c>
      <c r="AM51" s="133"/>
      <c r="AN51" s="133"/>
      <c r="AO51" s="133"/>
      <c r="AP51" s="58"/>
      <c r="AQ51" s="132">
        <v>-12050</v>
      </c>
    </row>
    <row r="52" spans="1:72" ht="12.75" hidden="1" customHeight="1" x14ac:dyDescent="0.2">
      <c r="B52" s="268" t="s">
        <v>87</v>
      </c>
      <c r="C52" s="135"/>
      <c r="D52" s="136">
        <v>8124</v>
      </c>
      <c r="E52" s="136">
        <v>8400</v>
      </c>
      <c r="F52" s="136">
        <v>7110</v>
      </c>
      <c r="G52" s="133">
        <f t="shared" si="25"/>
        <v>-64686.95</v>
      </c>
      <c r="H52" s="132">
        <v>-60000</v>
      </c>
      <c r="I52" s="132">
        <v>0</v>
      </c>
      <c r="J52" s="132"/>
      <c r="K52" s="132">
        <v>-15818</v>
      </c>
      <c r="L52" s="132">
        <v>-60000</v>
      </c>
      <c r="M52" s="133">
        <v>-64686.95</v>
      </c>
      <c r="N52" s="133"/>
      <c r="O52" s="133">
        <v>0</v>
      </c>
      <c r="P52" s="133">
        <f t="shared" si="26"/>
        <v>0</v>
      </c>
      <c r="Q52" s="133"/>
      <c r="R52" s="137" t="e">
        <f t="shared" si="27"/>
        <v>#DIV/0!</v>
      </c>
      <c r="S52" s="136"/>
      <c r="T52" s="141"/>
      <c r="U52" s="132"/>
      <c r="V52" s="132"/>
      <c r="W52" s="138"/>
      <c r="X52" s="132"/>
      <c r="Y52" s="132"/>
      <c r="Z52" s="138"/>
      <c r="AA52" s="132"/>
      <c r="AB52" s="349"/>
      <c r="AC52" s="349"/>
      <c r="AD52" s="349"/>
      <c r="AE52" s="132"/>
      <c r="AF52" s="132"/>
      <c r="AG52" s="132"/>
      <c r="AH52" s="132"/>
      <c r="AI52" s="132"/>
      <c r="AJ52" s="133">
        <f t="shared" si="22"/>
        <v>-9000</v>
      </c>
      <c r="AK52" s="133">
        <f t="shared" si="23"/>
        <v>-7650</v>
      </c>
      <c r="AL52" s="133">
        <f t="shared" si="24"/>
        <v>-6502.5</v>
      </c>
      <c r="AM52" s="133"/>
      <c r="AN52" s="133"/>
      <c r="AO52" s="133"/>
      <c r="AP52" s="58"/>
      <c r="AQ52" s="132"/>
    </row>
    <row r="53" spans="1:72" s="71" customFormat="1" ht="12.75" hidden="1" customHeight="1" x14ac:dyDescent="0.2">
      <c r="A53" s="1"/>
      <c r="B53" s="134" t="s">
        <v>208</v>
      </c>
      <c r="C53" s="135" t="s">
        <v>7</v>
      </c>
      <c r="D53" s="136"/>
      <c r="E53" s="136"/>
      <c r="F53" s="136"/>
      <c r="G53" s="133">
        <f t="shared" si="25"/>
        <v>0</v>
      </c>
      <c r="H53" s="311">
        <v>-600000</v>
      </c>
      <c r="I53" s="311">
        <v>-19000</v>
      </c>
      <c r="J53" s="311">
        <v>0</v>
      </c>
      <c r="K53" s="311">
        <v>0</v>
      </c>
      <c r="L53" s="311"/>
      <c r="M53" s="133"/>
      <c r="N53" s="133"/>
      <c r="O53" s="133">
        <v>0</v>
      </c>
      <c r="P53" s="133">
        <f t="shared" si="26"/>
        <v>0</v>
      </c>
      <c r="Q53" s="133"/>
      <c r="R53" s="137" t="e">
        <f t="shared" si="27"/>
        <v>#DIV/0!</v>
      </c>
      <c r="S53" s="136"/>
      <c r="T53" s="141"/>
      <c r="U53" s="132"/>
      <c r="V53" s="132"/>
      <c r="W53" s="138"/>
      <c r="X53" s="132"/>
      <c r="Y53" s="132"/>
      <c r="Z53" s="138"/>
      <c r="AA53" s="311"/>
      <c r="AB53" s="351"/>
      <c r="AC53" s="351"/>
      <c r="AD53" s="351"/>
      <c r="AE53" s="311"/>
      <c r="AF53" s="311"/>
      <c r="AG53" s="311"/>
      <c r="AH53" s="311"/>
      <c r="AI53" s="311"/>
      <c r="AJ53" s="133">
        <f t="shared" si="22"/>
        <v>0</v>
      </c>
      <c r="AK53" s="133">
        <f t="shared" si="23"/>
        <v>0</v>
      </c>
      <c r="AL53" s="133">
        <f t="shared" si="24"/>
        <v>0</v>
      </c>
      <c r="AM53" s="133"/>
      <c r="AN53" s="133"/>
      <c r="AO53" s="133"/>
      <c r="AP53" s="125"/>
      <c r="AQ53" s="311"/>
      <c r="AR53" s="1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/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</row>
    <row r="54" spans="1:72" ht="2.25" customHeight="1" x14ac:dyDescent="0.2">
      <c r="B54" s="134" t="s">
        <v>209</v>
      </c>
      <c r="C54" s="135"/>
      <c r="D54" s="136"/>
      <c r="E54" s="136"/>
      <c r="F54" s="136"/>
      <c r="G54" s="133">
        <f t="shared" si="25"/>
        <v>0</v>
      </c>
      <c r="H54" s="311">
        <v>-20000</v>
      </c>
      <c r="I54" s="311">
        <v>0</v>
      </c>
      <c r="J54" s="311"/>
      <c r="K54" s="311"/>
      <c r="L54" s="311"/>
      <c r="M54" s="133"/>
      <c r="N54" s="133"/>
      <c r="O54" s="133">
        <v>0</v>
      </c>
      <c r="P54" s="133">
        <f t="shared" si="26"/>
        <v>0</v>
      </c>
      <c r="Q54" s="133"/>
      <c r="R54" s="137" t="e">
        <f t="shared" si="27"/>
        <v>#DIV/0!</v>
      </c>
      <c r="S54" s="136"/>
      <c r="T54" s="141"/>
      <c r="U54" s="132"/>
      <c r="V54" s="132"/>
      <c r="W54" s="138"/>
      <c r="X54" s="132"/>
      <c r="Y54" s="132"/>
      <c r="Z54" s="138"/>
      <c r="AA54" s="311"/>
      <c r="AB54" s="351"/>
      <c r="AC54" s="351"/>
      <c r="AD54" s="351"/>
      <c r="AE54" s="311"/>
      <c r="AF54" s="311"/>
      <c r="AG54" s="311"/>
      <c r="AH54" s="311"/>
      <c r="AI54" s="311"/>
      <c r="AJ54" s="133"/>
      <c r="AK54" s="133"/>
      <c r="AL54" s="133"/>
      <c r="AM54" s="133"/>
      <c r="AN54" s="133"/>
      <c r="AO54" s="133"/>
      <c r="AP54" s="58"/>
      <c r="AQ54" s="311"/>
    </row>
    <row r="55" spans="1:72" ht="12.75" customHeight="1" x14ac:dyDescent="0.2">
      <c r="B55" s="134" t="s">
        <v>82</v>
      </c>
      <c r="C55" s="135"/>
      <c r="D55" s="136">
        <v>8155</v>
      </c>
      <c r="E55" s="136">
        <v>8400</v>
      </c>
      <c r="F55" s="136">
        <v>7110</v>
      </c>
      <c r="G55" s="133">
        <f t="shared" si="25"/>
        <v>-320000</v>
      </c>
      <c r="H55" s="132"/>
      <c r="I55" s="132"/>
      <c r="J55" s="132"/>
      <c r="K55" s="132"/>
      <c r="L55" s="132"/>
      <c r="M55" s="297"/>
      <c r="N55" s="297">
        <v>-20000</v>
      </c>
      <c r="O55" s="297">
        <v>0</v>
      </c>
      <c r="P55" s="297">
        <f t="shared" si="26"/>
        <v>-20000</v>
      </c>
      <c r="Q55" s="297">
        <v>0</v>
      </c>
      <c r="R55" s="137">
        <f t="shared" si="27"/>
        <v>0</v>
      </c>
      <c r="S55" s="302"/>
      <c r="T55" s="141" t="s">
        <v>173</v>
      </c>
      <c r="U55" s="132">
        <v>-300000</v>
      </c>
      <c r="V55" s="132"/>
      <c r="W55" s="143" t="s">
        <v>174</v>
      </c>
      <c r="X55" s="132"/>
      <c r="Y55" s="132"/>
      <c r="Z55" s="138"/>
      <c r="AA55" s="132"/>
      <c r="AB55" s="349"/>
      <c r="AC55" s="349"/>
      <c r="AD55" s="349"/>
      <c r="AE55" s="132"/>
      <c r="AF55" s="132"/>
      <c r="AG55" s="132"/>
      <c r="AH55" s="132"/>
      <c r="AI55" s="132"/>
      <c r="AJ55" s="133">
        <f t="shared" si="22"/>
        <v>0</v>
      </c>
      <c r="AK55" s="133">
        <f t="shared" si="23"/>
        <v>-3000</v>
      </c>
      <c r="AL55" s="133">
        <f t="shared" si="24"/>
        <v>-47550</v>
      </c>
      <c r="AM55" s="133"/>
      <c r="AN55" s="133"/>
      <c r="AO55" s="133"/>
      <c r="AP55" s="58"/>
      <c r="AQ55" s="132">
        <v>-20000</v>
      </c>
    </row>
    <row r="56" spans="1:72" ht="12.75" customHeight="1" x14ac:dyDescent="0.2">
      <c r="B56" s="350"/>
      <c r="C56" s="135"/>
      <c r="D56" s="136">
        <v>8125</v>
      </c>
      <c r="E56" s="136">
        <v>8400</v>
      </c>
      <c r="F56" s="136">
        <v>7110</v>
      </c>
      <c r="G56" s="133">
        <f t="shared" si="25"/>
        <v>-3201.63</v>
      </c>
      <c r="H56" s="132">
        <v>-5000</v>
      </c>
      <c r="I56" s="132">
        <v>0</v>
      </c>
      <c r="J56" s="132">
        <v>-10000</v>
      </c>
      <c r="K56" s="132">
        <v>0</v>
      </c>
      <c r="L56" s="133">
        <v>0</v>
      </c>
      <c r="M56" s="133">
        <v>-3201.63</v>
      </c>
      <c r="N56" s="133"/>
      <c r="O56" s="133">
        <v>0</v>
      </c>
      <c r="P56" s="133">
        <f t="shared" si="26"/>
        <v>0</v>
      </c>
      <c r="Q56" s="133"/>
      <c r="R56" s="137"/>
      <c r="S56" s="136"/>
      <c r="T56" s="141"/>
      <c r="U56" s="132"/>
      <c r="V56" s="132"/>
      <c r="W56" s="138"/>
      <c r="X56" s="132"/>
      <c r="Y56" s="132"/>
      <c r="Z56" s="138"/>
      <c r="AA56" s="132"/>
      <c r="AB56" s="349"/>
      <c r="AC56" s="349"/>
      <c r="AD56" s="349"/>
      <c r="AE56" s="132"/>
      <c r="AF56" s="132"/>
      <c r="AG56" s="132"/>
      <c r="AH56" s="132"/>
      <c r="AI56" s="132"/>
      <c r="AJ56" s="133">
        <f t="shared" si="22"/>
        <v>0</v>
      </c>
      <c r="AK56" s="133">
        <f t="shared" si="23"/>
        <v>0</v>
      </c>
      <c r="AL56" s="133">
        <f t="shared" si="24"/>
        <v>0</v>
      </c>
      <c r="AM56" s="133"/>
      <c r="AN56" s="133"/>
      <c r="AO56" s="133"/>
      <c r="AP56" s="58"/>
      <c r="AQ56" s="132"/>
    </row>
    <row r="57" spans="1:72" ht="12.75" customHeight="1" x14ac:dyDescent="0.2">
      <c r="B57" s="134" t="s">
        <v>210</v>
      </c>
      <c r="C57" s="135"/>
      <c r="D57" s="136">
        <v>8126</v>
      </c>
      <c r="E57" s="136">
        <v>8400</v>
      </c>
      <c r="F57" s="136">
        <v>7110</v>
      </c>
      <c r="G57" s="133">
        <f t="shared" si="25"/>
        <v>-1600000</v>
      </c>
      <c r="H57" s="132"/>
      <c r="I57" s="132"/>
      <c r="J57" s="132"/>
      <c r="K57" s="132"/>
      <c r="L57" s="133">
        <v>-10000</v>
      </c>
      <c r="M57" s="133">
        <v>0</v>
      </c>
      <c r="N57" s="133">
        <v>-600000</v>
      </c>
      <c r="O57" s="133">
        <v>0</v>
      </c>
      <c r="P57" s="133">
        <f t="shared" si="26"/>
        <v>-600000</v>
      </c>
      <c r="Q57" s="133">
        <v>0</v>
      </c>
      <c r="R57" s="137">
        <f t="shared" si="27"/>
        <v>0</v>
      </c>
      <c r="S57" s="143" t="s">
        <v>177</v>
      </c>
      <c r="T57" s="141" t="s">
        <v>192</v>
      </c>
      <c r="U57" s="132">
        <v>-1300000</v>
      </c>
      <c r="V57" s="132"/>
      <c r="W57" s="138"/>
      <c r="X57" s="132"/>
      <c r="Y57" s="132"/>
      <c r="Z57" s="138"/>
      <c r="AA57" s="132"/>
      <c r="AB57" s="349"/>
      <c r="AC57" s="349"/>
      <c r="AD57" s="349"/>
      <c r="AE57" s="132"/>
      <c r="AF57" s="132"/>
      <c r="AG57" s="132"/>
      <c r="AH57" s="132"/>
      <c r="AI57" s="132"/>
      <c r="AJ57" s="133">
        <f t="shared" si="22"/>
        <v>-1500</v>
      </c>
      <c r="AK57" s="133">
        <f>N57*0.15+(L57-AJ57)*0.15</f>
        <v>-91275</v>
      </c>
      <c r="AL57" s="133">
        <f t="shared" si="24"/>
        <v>-272583.75</v>
      </c>
      <c r="AM57" s="133"/>
      <c r="AN57" s="133"/>
      <c r="AO57" s="133"/>
      <c r="AP57" s="58"/>
      <c r="AQ57" s="132">
        <v>-300000</v>
      </c>
    </row>
    <row r="58" spans="1:72" ht="12.75" customHeight="1" x14ac:dyDescent="0.2">
      <c r="B58" s="134" t="s">
        <v>79</v>
      </c>
      <c r="C58" s="135"/>
      <c r="D58" s="136">
        <v>8110</v>
      </c>
      <c r="E58" s="136">
        <v>8400</v>
      </c>
      <c r="F58" s="136">
        <v>7110</v>
      </c>
      <c r="G58" s="133">
        <f t="shared" si="25"/>
        <v>-150000</v>
      </c>
      <c r="H58" s="132"/>
      <c r="I58" s="132"/>
      <c r="J58" s="132">
        <v>-150000</v>
      </c>
      <c r="K58" s="132">
        <v>-29796</v>
      </c>
      <c r="L58" s="132">
        <v>0</v>
      </c>
      <c r="M58" s="133">
        <v>0</v>
      </c>
      <c r="N58" s="133">
        <v>-150000</v>
      </c>
      <c r="O58" s="133">
        <v>0</v>
      </c>
      <c r="P58" s="133">
        <f t="shared" si="26"/>
        <v>-150000</v>
      </c>
      <c r="Q58" s="133">
        <v>-8355.2000000000007</v>
      </c>
      <c r="R58" s="137">
        <f t="shared" si="27"/>
        <v>5.5701333333333339E-2</v>
      </c>
      <c r="S58" s="302"/>
      <c r="T58" s="141" t="s">
        <v>173</v>
      </c>
      <c r="U58" s="132"/>
      <c r="V58" s="132"/>
      <c r="W58" s="138"/>
      <c r="X58" s="132"/>
      <c r="Y58" s="132"/>
      <c r="Z58" s="138"/>
      <c r="AA58" s="132"/>
      <c r="AB58" s="349"/>
      <c r="AC58" s="349"/>
      <c r="AD58" s="349"/>
      <c r="AE58" s="132"/>
      <c r="AF58" s="132"/>
      <c r="AG58" s="132"/>
      <c r="AH58" s="132"/>
      <c r="AI58" s="132"/>
      <c r="AJ58" s="133">
        <f t="shared" si="22"/>
        <v>0</v>
      </c>
      <c r="AK58" s="133">
        <f t="shared" si="23"/>
        <v>-22500</v>
      </c>
      <c r="AL58" s="133">
        <f t="shared" si="24"/>
        <v>-19125</v>
      </c>
      <c r="AM58" s="133"/>
      <c r="AN58" s="133"/>
      <c r="AO58" s="133"/>
      <c r="AP58" s="58"/>
      <c r="AQ58" s="132">
        <v>-150000</v>
      </c>
    </row>
    <row r="59" spans="1:72" ht="12.75" customHeight="1" x14ac:dyDescent="0.2">
      <c r="B59" s="134" t="s">
        <v>98</v>
      </c>
      <c r="C59" s="135" t="s">
        <v>55</v>
      </c>
      <c r="D59" s="136">
        <v>8104</v>
      </c>
      <c r="E59" s="136">
        <v>8400</v>
      </c>
      <c r="F59" s="136">
        <v>7120</v>
      </c>
      <c r="G59" s="133">
        <f t="shared" si="25"/>
        <v>-564055</v>
      </c>
      <c r="H59" s="132">
        <v>-20000</v>
      </c>
      <c r="I59" s="132">
        <v>0</v>
      </c>
      <c r="J59" s="132">
        <v>-20000</v>
      </c>
      <c r="K59" s="132">
        <v>-22275</v>
      </c>
      <c r="L59" s="132">
        <v>-30000</v>
      </c>
      <c r="M59" s="133">
        <v>-24055</v>
      </c>
      <c r="N59" s="133">
        <v>-40000</v>
      </c>
      <c r="O59" s="133">
        <v>0</v>
      </c>
      <c r="P59" s="133">
        <f t="shared" si="26"/>
        <v>-40000</v>
      </c>
      <c r="Q59" s="133">
        <v>-11296.5</v>
      </c>
      <c r="R59" s="137">
        <f t="shared" si="27"/>
        <v>0.28241250000000001</v>
      </c>
      <c r="S59" s="302"/>
      <c r="T59" s="141" t="s">
        <v>173</v>
      </c>
      <c r="U59" s="132">
        <v>-250000</v>
      </c>
      <c r="V59" s="132"/>
      <c r="W59" s="143" t="s">
        <v>174</v>
      </c>
      <c r="X59" s="307"/>
      <c r="Y59" s="132"/>
      <c r="Z59" s="138"/>
      <c r="AA59" s="133">
        <v>-250000</v>
      </c>
      <c r="AB59" s="349"/>
      <c r="AC59" s="349"/>
      <c r="AD59" s="349"/>
      <c r="AE59" s="132"/>
      <c r="AF59" s="132"/>
      <c r="AG59" s="132"/>
      <c r="AH59" s="132"/>
      <c r="AI59" s="132"/>
      <c r="AJ59" s="133">
        <f t="shared" si="22"/>
        <v>-4500</v>
      </c>
      <c r="AK59" s="133">
        <f t="shared" si="23"/>
        <v>-9825</v>
      </c>
      <c r="AL59" s="133">
        <f t="shared" si="24"/>
        <v>-45851.25</v>
      </c>
      <c r="AM59" s="133"/>
      <c r="AN59" s="133"/>
      <c r="AO59" s="133"/>
      <c r="AP59" s="58"/>
      <c r="AQ59" s="132">
        <v>-40000</v>
      </c>
    </row>
    <row r="60" spans="1:72" ht="12.75" hidden="1" customHeight="1" x14ac:dyDescent="0.2">
      <c r="B60" s="268" t="s">
        <v>90</v>
      </c>
      <c r="C60" s="135"/>
      <c r="D60" s="136">
        <v>8117</v>
      </c>
      <c r="E60" s="136">
        <v>8400</v>
      </c>
      <c r="F60" s="136">
        <v>7110</v>
      </c>
      <c r="G60" s="133">
        <f t="shared" si="25"/>
        <v>0</v>
      </c>
      <c r="H60" s="132">
        <v>0</v>
      </c>
      <c r="I60" s="132">
        <v>-2008</v>
      </c>
      <c r="J60" s="132">
        <v>-30000</v>
      </c>
      <c r="K60" s="132">
        <v>-77433</v>
      </c>
      <c r="L60" s="132"/>
      <c r="M60" s="133"/>
      <c r="N60" s="133"/>
      <c r="O60" s="133">
        <v>0</v>
      </c>
      <c r="P60" s="133">
        <f t="shared" si="26"/>
        <v>0</v>
      </c>
      <c r="Q60" s="133"/>
      <c r="R60" s="137" t="e">
        <f t="shared" si="27"/>
        <v>#DIV/0!</v>
      </c>
      <c r="S60" s="136"/>
      <c r="T60" s="141"/>
      <c r="U60" s="132"/>
      <c r="V60" s="132"/>
      <c r="W60" s="138"/>
      <c r="X60" s="132"/>
      <c r="Y60" s="132"/>
      <c r="Z60" s="138"/>
      <c r="AA60" s="132"/>
      <c r="AB60" s="349"/>
      <c r="AC60" s="349"/>
      <c r="AD60" s="349"/>
      <c r="AE60" s="132"/>
      <c r="AF60" s="132"/>
      <c r="AG60" s="132"/>
      <c r="AH60" s="132"/>
      <c r="AI60" s="132"/>
      <c r="AJ60" s="133">
        <f t="shared" si="22"/>
        <v>0</v>
      </c>
      <c r="AK60" s="133">
        <f t="shared" si="23"/>
        <v>0</v>
      </c>
      <c r="AL60" s="133">
        <f t="shared" si="24"/>
        <v>0</v>
      </c>
      <c r="AM60" s="133"/>
      <c r="AN60" s="133"/>
      <c r="AO60" s="133"/>
      <c r="AP60" s="58"/>
      <c r="AQ60" s="132"/>
    </row>
    <row r="61" spans="1:72" s="61" customFormat="1" ht="12.75" customHeight="1" x14ac:dyDescent="0.2">
      <c r="A61" s="1"/>
      <c r="B61" s="293" t="s">
        <v>58</v>
      </c>
      <c r="C61" s="314" t="s">
        <v>55</v>
      </c>
      <c r="D61" s="315">
        <v>8108</v>
      </c>
      <c r="E61" s="315">
        <v>8400</v>
      </c>
      <c r="F61" s="315">
        <v>7110</v>
      </c>
      <c r="G61" s="133">
        <f t="shared" si="25"/>
        <v>-114573.89</v>
      </c>
      <c r="H61" s="132">
        <v>-100000</v>
      </c>
      <c r="I61" s="132">
        <v>-73267</v>
      </c>
      <c r="J61" s="132">
        <v>-220000</v>
      </c>
      <c r="K61" s="132">
        <v>-89793</v>
      </c>
      <c r="L61" s="133">
        <v>-150000</v>
      </c>
      <c r="M61" s="133">
        <v>-14573.89</v>
      </c>
      <c r="N61" s="133">
        <v>-60000</v>
      </c>
      <c r="O61" s="133">
        <v>0</v>
      </c>
      <c r="P61" s="133">
        <f t="shared" si="26"/>
        <v>-60000</v>
      </c>
      <c r="Q61" s="133">
        <v>-94364</v>
      </c>
      <c r="R61" s="137">
        <f t="shared" si="27"/>
        <v>1.5727333333333333</v>
      </c>
      <c r="S61" s="140">
        <v>44446</v>
      </c>
      <c r="T61" s="144" t="s">
        <v>211</v>
      </c>
      <c r="U61" s="132"/>
      <c r="V61" s="132"/>
      <c r="W61" s="138"/>
      <c r="X61" s="132"/>
      <c r="Y61" s="132"/>
      <c r="Z61" s="138"/>
      <c r="AA61" s="132"/>
      <c r="AB61" s="349"/>
      <c r="AC61" s="349"/>
      <c r="AD61" s="349"/>
      <c r="AE61" s="132"/>
      <c r="AF61" s="132"/>
      <c r="AG61" s="132"/>
      <c r="AH61" s="132"/>
      <c r="AI61" s="132"/>
      <c r="AJ61" s="132">
        <f t="shared" si="22"/>
        <v>-22500</v>
      </c>
      <c r="AK61" s="132">
        <f t="shared" si="23"/>
        <v>-28125</v>
      </c>
      <c r="AL61" s="132">
        <f t="shared" si="24"/>
        <v>-23906.25</v>
      </c>
      <c r="AM61" s="132"/>
      <c r="AN61" s="132"/>
      <c r="AO61" s="132"/>
      <c r="AP61" s="82"/>
      <c r="AQ61" s="132">
        <v>-100000</v>
      </c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</row>
    <row r="62" spans="1:72" s="61" customFormat="1" ht="12.75" customHeight="1" x14ac:dyDescent="0.2">
      <c r="A62" s="1"/>
      <c r="B62" s="293" t="s">
        <v>212</v>
      </c>
      <c r="C62" s="314"/>
      <c r="D62" s="315">
        <v>8156</v>
      </c>
      <c r="E62" s="315">
        <v>8400</v>
      </c>
      <c r="F62" s="315">
        <v>7110</v>
      </c>
      <c r="G62" s="133">
        <f t="shared" si="25"/>
        <v>-200000</v>
      </c>
      <c r="H62" s="132"/>
      <c r="I62" s="132"/>
      <c r="J62" s="132"/>
      <c r="K62" s="132"/>
      <c r="L62" s="132"/>
      <c r="M62" s="133"/>
      <c r="N62" s="133">
        <v>-200000</v>
      </c>
      <c r="O62" s="133">
        <v>0</v>
      </c>
      <c r="P62" s="133">
        <f t="shared" si="26"/>
        <v>-200000</v>
      </c>
      <c r="Q62" s="133">
        <v>-8762.41</v>
      </c>
      <c r="R62" s="137">
        <f t="shared" si="27"/>
        <v>4.3812049999999998E-2</v>
      </c>
      <c r="S62" s="302"/>
      <c r="T62" s="141" t="s">
        <v>173</v>
      </c>
      <c r="U62" s="132"/>
      <c r="V62" s="132"/>
      <c r="W62" s="138"/>
      <c r="X62" s="132"/>
      <c r="Y62" s="132"/>
      <c r="Z62" s="138"/>
      <c r="AA62" s="132"/>
      <c r="AB62" s="349"/>
      <c r="AC62" s="349"/>
      <c r="AD62" s="349"/>
      <c r="AE62" s="132"/>
      <c r="AF62" s="132"/>
      <c r="AG62" s="132"/>
      <c r="AH62" s="132"/>
      <c r="AI62" s="132"/>
      <c r="AJ62" s="132">
        <f t="shared" si="22"/>
        <v>0</v>
      </c>
      <c r="AK62" s="132">
        <f t="shared" si="23"/>
        <v>-30000</v>
      </c>
      <c r="AL62" s="132">
        <f t="shared" si="24"/>
        <v>-25500</v>
      </c>
      <c r="AM62" s="132"/>
      <c r="AN62" s="132"/>
      <c r="AO62" s="132"/>
      <c r="AP62" s="82"/>
      <c r="AQ62" s="132">
        <v>-200000</v>
      </c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</row>
    <row r="63" spans="1:72" s="61" customFormat="1" ht="12.75" customHeight="1" x14ac:dyDescent="0.2">
      <c r="A63" s="1"/>
      <c r="B63" s="293" t="s">
        <v>213</v>
      </c>
      <c r="C63" s="314"/>
      <c r="D63" s="315">
        <v>8157</v>
      </c>
      <c r="E63" s="315">
        <v>8400</v>
      </c>
      <c r="F63" s="315">
        <v>7110</v>
      </c>
      <c r="G63" s="133">
        <f t="shared" si="25"/>
        <v>-50000</v>
      </c>
      <c r="H63" s="132"/>
      <c r="I63" s="132"/>
      <c r="J63" s="132"/>
      <c r="K63" s="132"/>
      <c r="L63" s="132"/>
      <c r="M63" s="133"/>
      <c r="N63" s="133">
        <v>-100000</v>
      </c>
      <c r="O63" s="133">
        <v>0</v>
      </c>
      <c r="P63" s="133">
        <f t="shared" si="26"/>
        <v>-100000</v>
      </c>
      <c r="Q63" s="133">
        <v>0</v>
      </c>
      <c r="R63" s="137">
        <f t="shared" si="27"/>
        <v>0</v>
      </c>
      <c r="S63" s="302"/>
      <c r="T63" s="141" t="s">
        <v>173</v>
      </c>
      <c r="U63" s="132"/>
      <c r="V63" s="132"/>
      <c r="W63" s="138"/>
      <c r="X63" s="132"/>
      <c r="Y63" s="132"/>
      <c r="Z63" s="138"/>
      <c r="AA63" s="132"/>
      <c r="AB63" s="349"/>
      <c r="AC63" s="349"/>
      <c r="AD63" s="349"/>
      <c r="AE63" s="132"/>
      <c r="AF63" s="132"/>
      <c r="AG63" s="132"/>
      <c r="AH63" s="132"/>
      <c r="AI63" s="132"/>
      <c r="AJ63" s="132">
        <f t="shared" si="22"/>
        <v>0</v>
      </c>
      <c r="AK63" s="132">
        <f t="shared" si="23"/>
        <v>-15000</v>
      </c>
      <c r="AL63" s="132">
        <f t="shared" si="24"/>
        <v>-12750</v>
      </c>
      <c r="AM63" s="132"/>
      <c r="AN63" s="132"/>
      <c r="AO63" s="132"/>
      <c r="AP63" s="82"/>
      <c r="AQ63" s="132">
        <v>-50000</v>
      </c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</row>
    <row r="64" spans="1:72" s="61" customFormat="1" ht="12.75" hidden="1" customHeight="1" x14ac:dyDescent="0.2">
      <c r="A64" s="1"/>
      <c r="B64" s="293" t="s">
        <v>214</v>
      </c>
      <c r="C64" s="314"/>
      <c r="D64" s="315"/>
      <c r="E64" s="315"/>
      <c r="F64" s="315"/>
      <c r="G64" s="133">
        <f t="shared" si="25"/>
        <v>0</v>
      </c>
      <c r="H64" s="132">
        <v>-30000</v>
      </c>
      <c r="I64" s="132">
        <v>0</v>
      </c>
      <c r="J64" s="132"/>
      <c r="K64" s="132"/>
      <c r="L64" s="132"/>
      <c r="M64" s="133"/>
      <c r="N64" s="133"/>
      <c r="O64" s="133">
        <v>0</v>
      </c>
      <c r="P64" s="133">
        <f t="shared" si="26"/>
        <v>0</v>
      </c>
      <c r="Q64" s="133"/>
      <c r="R64" s="137" t="e">
        <f t="shared" si="27"/>
        <v>#DIV/0!</v>
      </c>
      <c r="S64" s="136"/>
      <c r="T64" s="141"/>
      <c r="U64" s="132"/>
      <c r="V64" s="132"/>
      <c r="W64" s="138"/>
      <c r="X64" s="132"/>
      <c r="Y64" s="132"/>
      <c r="Z64" s="138"/>
      <c r="AA64" s="132"/>
      <c r="AB64" s="349"/>
      <c r="AC64" s="349"/>
      <c r="AD64" s="349"/>
      <c r="AE64" s="132"/>
      <c r="AF64" s="132"/>
      <c r="AG64" s="132"/>
      <c r="AH64" s="132"/>
      <c r="AI64" s="132"/>
      <c r="AJ64" s="132"/>
      <c r="AK64" s="132"/>
      <c r="AL64" s="132"/>
      <c r="AM64" s="132"/>
      <c r="AN64" s="132"/>
      <c r="AO64" s="132"/>
      <c r="AP64" s="82"/>
      <c r="AQ64" s="132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</row>
    <row r="65" spans="1:72" s="61" customFormat="1" ht="12.75" customHeight="1" x14ac:dyDescent="0.2">
      <c r="A65" s="1"/>
      <c r="B65" s="293" t="s">
        <v>215</v>
      </c>
      <c r="C65" s="314"/>
      <c r="D65" s="315">
        <v>8158</v>
      </c>
      <c r="E65" s="315">
        <v>8400</v>
      </c>
      <c r="F65" s="315">
        <v>7110</v>
      </c>
      <c r="G65" s="133">
        <f t="shared" si="25"/>
        <v>-150000</v>
      </c>
      <c r="H65" s="132"/>
      <c r="I65" s="132"/>
      <c r="J65" s="132"/>
      <c r="K65" s="132"/>
      <c r="L65" s="132"/>
      <c r="M65" s="133"/>
      <c r="N65" s="133">
        <v>-150000</v>
      </c>
      <c r="O65" s="133">
        <v>0</v>
      </c>
      <c r="P65" s="133">
        <f t="shared" si="26"/>
        <v>-150000</v>
      </c>
      <c r="Q65" s="133">
        <v>0</v>
      </c>
      <c r="R65" s="137">
        <f t="shared" si="27"/>
        <v>0</v>
      </c>
      <c r="S65" s="143" t="s">
        <v>216</v>
      </c>
      <c r="T65" s="141" t="s">
        <v>173</v>
      </c>
      <c r="U65" s="132"/>
      <c r="V65" s="132"/>
      <c r="W65" s="138"/>
      <c r="X65" s="132"/>
      <c r="Y65" s="132"/>
      <c r="Z65" s="138"/>
      <c r="AA65" s="132"/>
      <c r="AB65" s="349"/>
      <c r="AC65" s="349"/>
      <c r="AD65" s="349"/>
      <c r="AE65" s="132"/>
      <c r="AF65" s="132"/>
      <c r="AG65" s="132"/>
      <c r="AH65" s="132"/>
      <c r="AI65" s="132"/>
      <c r="AJ65" s="132">
        <f t="shared" si="22"/>
        <v>0</v>
      </c>
      <c r="AK65" s="132">
        <f t="shared" si="23"/>
        <v>-22500</v>
      </c>
      <c r="AL65" s="132">
        <f t="shared" si="24"/>
        <v>-19125</v>
      </c>
      <c r="AM65" s="132"/>
      <c r="AN65" s="132"/>
      <c r="AO65" s="132"/>
      <c r="AP65" s="82"/>
      <c r="AQ65" s="132">
        <v>-150000</v>
      </c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</row>
    <row r="66" spans="1:72" s="61" customFormat="1" ht="12.75" customHeight="1" x14ac:dyDescent="0.2">
      <c r="A66" s="1"/>
      <c r="B66" s="293" t="s">
        <v>254</v>
      </c>
      <c r="C66" s="314"/>
      <c r="D66" s="315">
        <v>8175</v>
      </c>
      <c r="E66" s="315">
        <v>8400</v>
      </c>
      <c r="F66" s="315">
        <v>7110</v>
      </c>
      <c r="G66" s="133">
        <f t="shared" si="25"/>
        <v>-40000</v>
      </c>
      <c r="H66" s="132"/>
      <c r="I66" s="132"/>
      <c r="J66" s="132"/>
      <c r="K66" s="132"/>
      <c r="L66" s="132"/>
      <c r="M66" s="133"/>
      <c r="N66" s="133">
        <v>0</v>
      </c>
      <c r="O66" s="289">
        <v>-40000</v>
      </c>
      <c r="P66" s="289">
        <f t="shared" si="26"/>
        <v>-40000</v>
      </c>
      <c r="Q66" s="133">
        <v>0</v>
      </c>
      <c r="R66" s="137">
        <v>0</v>
      </c>
      <c r="S66" s="143" t="s">
        <v>218</v>
      </c>
      <c r="T66" s="141" t="s">
        <v>173</v>
      </c>
      <c r="U66" s="132"/>
      <c r="V66" s="132"/>
      <c r="W66" s="138"/>
      <c r="X66" s="132"/>
      <c r="Y66" s="132"/>
      <c r="Z66" s="138"/>
      <c r="AA66" s="132"/>
      <c r="AB66" s="349"/>
      <c r="AC66" s="349"/>
      <c r="AD66" s="349"/>
      <c r="AE66" s="132"/>
      <c r="AF66" s="132"/>
      <c r="AG66" s="132"/>
      <c r="AH66" s="132"/>
      <c r="AI66" s="132"/>
      <c r="AJ66" s="132"/>
      <c r="AK66" s="132"/>
      <c r="AL66" s="132"/>
      <c r="AM66" s="132"/>
      <c r="AN66" s="132"/>
      <c r="AO66" s="132"/>
      <c r="AP66" s="82"/>
      <c r="AQ66" s="133">
        <v>-40000</v>
      </c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</row>
    <row r="67" spans="1:72" s="61" customFormat="1" ht="12.75" customHeight="1" x14ac:dyDescent="0.2">
      <c r="A67" s="1"/>
      <c r="B67" s="293" t="s">
        <v>255</v>
      </c>
      <c r="C67" s="314"/>
      <c r="D67" s="315"/>
      <c r="E67" s="315"/>
      <c r="F67" s="315"/>
      <c r="G67" s="133">
        <f t="shared" si="25"/>
        <v>-1240000</v>
      </c>
      <c r="H67" s="132"/>
      <c r="I67" s="132"/>
      <c r="J67" s="132"/>
      <c r="K67" s="132"/>
      <c r="L67" s="132"/>
      <c r="M67" s="133"/>
      <c r="N67" s="133"/>
      <c r="O67" s="133"/>
      <c r="P67" s="133"/>
      <c r="Q67" s="133"/>
      <c r="R67" s="137"/>
      <c r="S67" s="143"/>
      <c r="T67" s="141"/>
      <c r="U67" s="132"/>
      <c r="V67" s="132"/>
      <c r="W67" s="138"/>
      <c r="X67" s="132">
        <v>-1240000</v>
      </c>
      <c r="Y67" s="132"/>
      <c r="Z67" s="138"/>
      <c r="AA67" s="132"/>
      <c r="AB67" s="349"/>
      <c r="AC67" s="349"/>
      <c r="AD67" s="349"/>
      <c r="AE67" s="132"/>
      <c r="AF67" s="132"/>
      <c r="AG67" s="132"/>
      <c r="AH67" s="132"/>
      <c r="AI67" s="132"/>
      <c r="AJ67" s="132"/>
      <c r="AK67" s="132"/>
      <c r="AL67" s="132"/>
      <c r="AM67" s="132"/>
      <c r="AN67" s="132"/>
      <c r="AO67" s="132"/>
      <c r="AP67" s="82"/>
      <c r="AQ67" s="133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</row>
    <row r="68" spans="1:72" s="61" customFormat="1" ht="12.75" customHeight="1" x14ac:dyDescent="0.2">
      <c r="A68" s="1"/>
      <c r="B68" s="343"/>
      <c r="C68" s="352"/>
      <c r="D68" s="353"/>
      <c r="E68" s="353"/>
      <c r="F68" s="353"/>
      <c r="G68" s="307"/>
      <c r="H68" s="139"/>
      <c r="I68" s="139"/>
      <c r="J68" s="139"/>
      <c r="K68" s="139"/>
      <c r="L68" s="139"/>
      <c r="M68" s="133"/>
      <c r="N68" s="133"/>
      <c r="O68" s="133"/>
      <c r="P68" s="133"/>
      <c r="Q68" s="133"/>
      <c r="R68" s="137"/>
      <c r="S68" s="143"/>
      <c r="T68" s="141"/>
      <c r="U68" s="139"/>
      <c r="V68" s="139"/>
      <c r="W68" s="304"/>
      <c r="X68" s="139"/>
      <c r="Y68" s="139"/>
      <c r="Z68" s="304"/>
      <c r="AA68" s="139"/>
      <c r="AB68" s="308"/>
      <c r="AC68" s="308"/>
      <c r="AD68" s="349"/>
      <c r="AE68" s="132"/>
      <c r="AF68" s="132"/>
      <c r="AG68" s="132"/>
      <c r="AH68" s="132"/>
      <c r="AI68" s="132"/>
      <c r="AJ68" s="132"/>
      <c r="AK68" s="132"/>
      <c r="AL68" s="132"/>
      <c r="AM68" s="132"/>
      <c r="AN68" s="132"/>
      <c r="AO68" s="132"/>
      <c r="AP68" s="82"/>
      <c r="AQ68" s="133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</row>
    <row r="69" spans="1:72" s="61" customFormat="1" ht="12.75" customHeight="1" x14ac:dyDescent="0.2">
      <c r="A69" s="1"/>
      <c r="B69" s="343"/>
      <c r="C69" s="352"/>
      <c r="D69" s="353"/>
      <c r="E69" s="353"/>
      <c r="F69" s="353"/>
      <c r="G69" s="307"/>
      <c r="H69" s="139"/>
      <c r="I69" s="139"/>
      <c r="J69" s="139"/>
      <c r="K69" s="139"/>
      <c r="L69" s="139"/>
      <c r="M69" s="133"/>
      <c r="N69" s="133"/>
      <c r="O69" s="133"/>
      <c r="P69" s="133"/>
      <c r="Q69" s="133"/>
      <c r="R69" s="137"/>
      <c r="S69" s="143"/>
      <c r="T69" s="141"/>
      <c r="U69" s="139"/>
      <c r="V69" s="139"/>
      <c r="W69" s="304"/>
      <c r="X69" s="139"/>
      <c r="Y69" s="139"/>
      <c r="Z69" s="304"/>
      <c r="AA69" s="139"/>
      <c r="AB69" s="308"/>
      <c r="AC69" s="308"/>
      <c r="AD69" s="349"/>
      <c r="AE69" s="132"/>
      <c r="AF69" s="132"/>
      <c r="AG69" s="132"/>
      <c r="AH69" s="132"/>
      <c r="AI69" s="132"/>
      <c r="AJ69" s="132"/>
      <c r="AK69" s="132"/>
      <c r="AL69" s="132"/>
      <c r="AM69" s="132"/>
      <c r="AN69" s="132"/>
      <c r="AO69" s="132"/>
      <c r="AP69" s="82"/>
      <c r="AQ69" s="133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</row>
    <row r="70" spans="1:72" s="61" customFormat="1" ht="12.75" customHeight="1" x14ac:dyDescent="0.2">
      <c r="A70" s="1"/>
      <c r="B70" s="343"/>
      <c r="C70" s="352"/>
      <c r="D70" s="353"/>
      <c r="E70" s="353"/>
      <c r="F70" s="353"/>
      <c r="G70" s="307"/>
      <c r="H70" s="139"/>
      <c r="I70" s="139"/>
      <c r="J70" s="139"/>
      <c r="K70" s="139"/>
      <c r="L70" s="139"/>
      <c r="M70" s="133"/>
      <c r="N70" s="133"/>
      <c r="O70" s="133"/>
      <c r="P70" s="133"/>
      <c r="Q70" s="133"/>
      <c r="R70" s="137"/>
      <c r="S70" s="143"/>
      <c r="T70" s="141"/>
      <c r="U70" s="139"/>
      <c r="V70" s="139"/>
      <c r="W70" s="304"/>
      <c r="X70" s="139"/>
      <c r="Y70" s="139"/>
      <c r="Z70" s="304"/>
      <c r="AA70" s="139"/>
      <c r="AB70" s="308"/>
      <c r="AC70" s="308"/>
      <c r="AD70" s="349"/>
      <c r="AE70" s="132"/>
      <c r="AF70" s="132"/>
      <c r="AG70" s="132"/>
      <c r="AH70" s="132"/>
      <c r="AI70" s="132"/>
      <c r="AJ70" s="132"/>
      <c r="AK70" s="132"/>
      <c r="AL70" s="132"/>
      <c r="AM70" s="132"/>
      <c r="AN70" s="132"/>
      <c r="AO70" s="132"/>
      <c r="AP70" s="82"/>
      <c r="AQ70" s="133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</row>
    <row r="71" spans="1:72" s="57" customFormat="1" ht="12.75" customHeight="1" x14ac:dyDescent="0.2">
      <c r="A71" s="7"/>
      <c r="B71" s="262" t="s">
        <v>219</v>
      </c>
      <c r="C71" s="263"/>
      <c r="D71" s="264"/>
      <c r="E71" s="264"/>
      <c r="F71" s="264"/>
      <c r="G71" s="271">
        <f>SUM(G47,G48,G49,G50,G51,G55,G56,G57,G58,G59,G61,G62,G63,G65,G66,G67,G68,G69,G70)</f>
        <v>-5253020.0199999996</v>
      </c>
      <c r="H71" s="271">
        <f t="shared" ref="H71:M71" si="28">SUM(H47,H48,H49,H50,H51,H55,H56,H57,H58,H59,H61,H62,H63,H65,H66,H67,H68,H69,H70)</f>
        <v>-275000</v>
      </c>
      <c r="I71" s="271">
        <f t="shared" si="28"/>
        <v>-121525</v>
      </c>
      <c r="J71" s="271">
        <f t="shared" si="28"/>
        <v>-490000</v>
      </c>
      <c r="K71" s="271">
        <f t="shared" si="28"/>
        <v>-237405</v>
      </c>
      <c r="L71" s="271">
        <f t="shared" si="28"/>
        <v>-270000</v>
      </c>
      <c r="M71" s="271">
        <f t="shared" si="28"/>
        <v>-120970.02</v>
      </c>
      <c r="N71" s="271">
        <f>SUM(N47:N70)</f>
        <v>-1850000</v>
      </c>
      <c r="O71" s="271">
        <f>SUM(O47:O70)</f>
        <v>347950</v>
      </c>
      <c r="P71" s="271">
        <f>SUM(P47:P70)</f>
        <v>-1502050</v>
      </c>
      <c r="Q71" s="271">
        <f>SUM(Q47:Q70)</f>
        <v>-155735.69</v>
      </c>
      <c r="R71" s="272">
        <f t="shared" si="27"/>
        <v>0.10368209447088979</v>
      </c>
      <c r="S71" s="316"/>
      <c r="T71" s="316"/>
      <c r="U71" s="271">
        <f>SUM(U47:U70)</f>
        <v>-2250000</v>
      </c>
      <c r="V71" s="271"/>
      <c r="W71" s="266"/>
      <c r="X71" s="271">
        <f>SUM(X47:X70)</f>
        <v>-1340000</v>
      </c>
      <c r="Y71" s="271"/>
      <c r="Z71" s="266"/>
      <c r="AA71" s="271">
        <f>SUM(AA47:AA70)</f>
        <v>-350000</v>
      </c>
      <c r="AB71" s="273"/>
      <c r="AC71" s="273"/>
      <c r="AD71" s="273">
        <f t="shared" ref="AD71:AO71" si="29">SUM(AD46:AD65)</f>
        <v>0</v>
      </c>
      <c r="AE71" s="271">
        <f t="shared" si="29"/>
        <v>0</v>
      </c>
      <c r="AF71" s="271">
        <f t="shared" si="29"/>
        <v>0</v>
      </c>
      <c r="AG71" s="271">
        <f t="shared" si="29"/>
        <v>0</v>
      </c>
      <c r="AH71" s="271">
        <f t="shared" si="29"/>
        <v>0</v>
      </c>
      <c r="AI71" s="271">
        <f t="shared" si="29"/>
        <v>0</v>
      </c>
      <c r="AJ71" s="271">
        <f t="shared" si="29"/>
        <v>-56607.15</v>
      </c>
      <c r="AK71" s="271">
        <f t="shared" si="29"/>
        <v>-325616.07750000001</v>
      </c>
      <c r="AL71" s="271">
        <f t="shared" si="29"/>
        <v>-614273.66587499995</v>
      </c>
      <c r="AM71" s="271">
        <f t="shared" si="29"/>
        <v>0</v>
      </c>
      <c r="AN71" s="271">
        <f t="shared" si="29"/>
        <v>0</v>
      </c>
      <c r="AO71" s="271">
        <f t="shared" si="29"/>
        <v>0</v>
      </c>
      <c r="AP71" s="59"/>
      <c r="AQ71" s="271">
        <f>SUM(AQ47:AQ70)</f>
        <v>-1192050</v>
      </c>
      <c r="AR71" s="1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</row>
    <row r="72" spans="1:72" s="7" customFormat="1" ht="12.75" customHeight="1" x14ac:dyDescent="0.2">
      <c r="B72" s="145"/>
      <c r="C72" s="149"/>
      <c r="D72" s="254"/>
      <c r="E72" s="254"/>
      <c r="F72" s="254"/>
      <c r="G72" s="275"/>
      <c r="H72" s="275"/>
      <c r="I72" s="275"/>
      <c r="J72" s="275"/>
      <c r="K72" s="275"/>
      <c r="L72" s="319"/>
      <c r="M72" s="275"/>
      <c r="N72" s="275"/>
      <c r="O72" s="275"/>
      <c r="P72" s="275"/>
      <c r="Q72" s="275"/>
      <c r="R72" s="275"/>
      <c r="S72" s="254"/>
      <c r="T72" s="275"/>
      <c r="U72" s="275"/>
      <c r="V72" s="275"/>
      <c r="W72" s="255"/>
      <c r="X72" s="275"/>
      <c r="Y72" s="275"/>
      <c r="Z72" s="255"/>
      <c r="AA72" s="275"/>
      <c r="AB72" s="276"/>
      <c r="AC72" s="276"/>
      <c r="AD72" s="276"/>
      <c r="AE72" s="275"/>
      <c r="AF72" s="275"/>
      <c r="AG72" s="275"/>
      <c r="AH72" s="275"/>
      <c r="AI72" s="275"/>
      <c r="AJ72" s="275"/>
      <c r="AK72" s="275"/>
      <c r="AL72" s="275"/>
      <c r="AM72" s="275"/>
      <c r="AN72" s="275"/>
      <c r="AO72" s="275"/>
      <c r="AP72" s="59"/>
      <c r="AQ72" s="275"/>
      <c r="AR72" s="1"/>
    </row>
    <row r="73" spans="1:72" s="57" customFormat="1" ht="12.75" customHeight="1" x14ac:dyDescent="0.2">
      <c r="A73" s="7"/>
      <c r="B73" s="262" t="s">
        <v>220</v>
      </c>
      <c r="C73" s="263"/>
      <c r="D73" s="264"/>
      <c r="E73" s="264"/>
      <c r="F73" s="264"/>
      <c r="G73" s="271"/>
      <c r="H73" s="271"/>
      <c r="I73" s="271"/>
      <c r="J73" s="271"/>
      <c r="K73" s="271"/>
      <c r="L73" s="271"/>
      <c r="M73" s="271"/>
      <c r="N73" s="271"/>
      <c r="O73" s="271"/>
      <c r="P73" s="271"/>
      <c r="Q73" s="271"/>
      <c r="R73" s="271"/>
      <c r="S73" s="264"/>
      <c r="T73" s="271"/>
      <c r="U73" s="271"/>
      <c r="V73" s="271"/>
      <c r="W73" s="266"/>
      <c r="X73" s="271"/>
      <c r="Y73" s="271"/>
      <c r="Z73" s="266"/>
      <c r="AA73" s="271"/>
      <c r="AB73" s="273"/>
      <c r="AC73" s="273"/>
      <c r="AD73" s="273"/>
      <c r="AE73" s="271"/>
      <c r="AF73" s="271"/>
      <c r="AG73" s="271"/>
      <c r="AH73" s="271"/>
      <c r="AI73" s="271"/>
      <c r="AJ73" s="271"/>
      <c r="AK73" s="271"/>
      <c r="AL73" s="271"/>
      <c r="AM73" s="271"/>
      <c r="AN73" s="271"/>
      <c r="AO73" s="271"/>
      <c r="AP73" s="58"/>
      <c r="AQ73" s="271"/>
      <c r="AR73" s="1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</row>
    <row r="74" spans="1:72" ht="12.75" hidden="1" customHeight="1" x14ac:dyDescent="0.2">
      <c r="B74" s="134" t="s">
        <v>102</v>
      </c>
      <c r="C74" s="135" t="s">
        <v>221</v>
      </c>
      <c r="D74" s="136">
        <v>8133</v>
      </c>
      <c r="E74" s="136">
        <v>8420</v>
      </c>
      <c r="F74" s="136">
        <v>7147</v>
      </c>
      <c r="G74" s="133">
        <f t="shared" ref="G74:G79" si="30">SUM(I74,K74,M74:AA74)</f>
        <v>-14832.67</v>
      </c>
      <c r="H74" s="133">
        <v>0</v>
      </c>
      <c r="I74" s="133">
        <v>2400</v>
      </c>
      <c r="J74" s="133">
        <v>-10000</v>
      </c>
      <c r="K74" s="133">
        <v>-13124</v>
      </c>
      <c r="L74" s="133">
        <v>0</v>
      </c>
      <c r="M74" s="133">
        <v>-4108.67</v>
      </c>
      <c r="N74" s="133"/>
      <c r="O74" s="133"/>
      <c r="P74" s="133"/>
      <c r="Q74" s="133"/>
      <c r="R74" s="133"/>
      <c r="S74" s="136"/>
      <c r="T74" s="133"/>
      <c r="U74" s="133"/>
      <c r="V74" s="133"/>
      <c r="W74" s="143"/>
      <c r="X74" s="133"/>
      <c r="Y74" s="133"/>
      <c r="Z74" s="143"/>
      <c r="AA74" s="133"/>
      <c r="AB74" s="269"/>
      <c r="AC74" s="269"/>
      <c r="AD74" s="269"/>
      <c r="AE74" s="133"/>
      <c r="AF74" s="133"/>
      <c r="AG74" s="133"/>
      <c r="AH74" s="133"/>
      <c r="AI74" s="133"/>
      <c r="AJ74" s="133"/>
      <c r="AK74" s="133"/>
      <c r="AL74" s="133"/>
      <c r="AM74" s="133"/>
      <c r="AN74" s="133"/>
      <c r="AO74" s="133"/>
      <c r="AP74" s="58"/>
      <c r="AQ74" s="133"/>
    </row>
    <row r="75" spans="1:72" ht="12.75" hidden="1" customHeight="1" x14ac:dyDescent="0.2">
      <c r="B75" s="134" t="s">
        <v>102</v>
      </c>
      <c r="C75" s="135" t="s">
        <v>221</v>
      </c>
      <c r="D75" s="136">
        <v>8133</v>
      </c>
      <c r="E75" s="136">
        <v>8420</v>
      </c>
      <c r="F75" s="136">
        <v>7147</v>
      </c>
      <c r="G75" s="133">
        <f t="shared" si="30"/>
        <v>-1715</v>
      </c>
      <c r="H75" s="133">
        <v>-20000</v>
      </c>
      <c r="I75" s="133">
        <v>-5715</v>
      </c>
      <c r="J75" s="133">
        <v>0</v>
      </c>
      <c r="K75" s="133">
        <v>4000</v>
      </c>
      <c r="L75" s="133"/>
      <c r="M75" s="133"/>
      <c r="N75" s="133"/>
      <c r="O75" s="133"/>
      <c r="P75" s="133"/>
      <c r="Q75" s="133"/>
      <c r="R75" s="133"/>
      <c r="S75" s="136"/>
      <c r="T75" s="133"/>
      <c r="U75" s="133"/>
      <c r="V75" s="133"/>
      <c r="W75" s="143"/>
      <c r="X75" s="133"/>
      <c r="Y75" s="133"/>
      <c r="Z75" s="143"/>
      <c r="AA75" s="133"/>
      <c r="AB75" s="269"/>
      <c r="AC75" s="269"/>
      <c r="AD75" s="269"/>
      <c r="AE75" s="133"/>
      <c r="AF75" s="133"/>
      <c r="AG75" s="133"/>
      <c r="AH75" s="133"/>
      <c r="AI75" s="133"/>
      <c r="AJ75" s="133"/>
      <c r="AK75" s="133"/>
      <c r="AL75" s="133"/>
      <c r="AM75" s="133"/>
      <c r="AN75" s="133"/>
      <c r="AO75" s="133"/>
      <c r="AP75" s="58"/>
      <c r="AQ75" s="133"/>
    </row>
    <row r="76" spans="1:72" ht="12.75" customHeight="1" x14ac:dyDescent="0.2">
      <c r="B76" s="134" t="s">
        <v>222</v>
      </c>
      <c r="C76" s="135" t="s">
        <v>221</v>
      </c>
      <c r="D76" s="136">
        <v>8145</v>
      </c>
      <c r="E76" s="136">
        <v>8420</v>
      </c>
      <c r="F76" s="136">
        <v>7153</v>
      </c>
      <c r="G76" s="133">
        <f t="shared" si="30"/>
        <v>-24697.3</v>
      </c>
      <c r="H76" s="133"/>
      <c r="I76" s="133"/>
      <c r="J76" s="133"/>
      <c r="K76" s="133"/>
      <c r="L76" s="133">
        <v>-15000</v>
      </c>
      <c r="M76" s="133">
        <v>-23697.3</v>
      </c>
      <c r="N76" s="133">
        <v>0</v>
      </c>
      <c r="O76" s="133">
        <v>0</v>
      </c>
      <c r="P76" s="133">
        <v>0</v>
      </c>
      <c r="Q76" s="133">
        <v>-1000</v>
      </c>
      <c r="R76" s="137">
        <v>0</v>
      </c>
      <c r="S76" s="136"/>
      <c r="T76" s="133"/>
      <c r="U76" s="133"/>
      <c r="V76" s="133"/>
      <c r="W76" s="143"/>
      <c r="X76" s="133"/>
      <c r="Y76" s="133"/>
      <c r="Z76" s="143"/>
      <c r="AA76" s="133"/>
      <c r="AB76" s="269"/>
      <c r="AC76" s="269"/>
      <c r="AD76" s="269"/>
      <c r="AE76" s="133"/>
      <c r="AF76" s="133"/>
      <c r="AG76" s="133"/>
      <c r="AH76" s="133"/>
      <c r="AI76" s="133"/>
      <c r="AJ76" s="133"/>
      <c r="AK76" s="133"/>
      <c r="AL76" s="133"/>
      <c r="AM76" s="133"/>
      <c r="AN76" s="133"/>
      <c r="AO76" s="133"/>
      <c r="AP76" s="58"/>
      <c r="AQ76" s="133">
        <v>-1000</v>
      </c>
    </row>
    <row r="77" spans="1:72" ht="12.75" hidden="1" customHeight="1" x14ac:dyDescent="0.2">
      <c r="B77" s="268" t="s">
        <v>105</v>
      </c>
      <c r="C77" s="135" t="s">
        <v>221</v>
      </c>
      <c r="D77" s="136">
        <v>8159</v>
      </c>
      <c r="E77" s="136">
        <v>8320</v>
      </c>
      <c r="F77" s="136">
        <v>7216</v>
      </c>
      <c r="G77" s="133">
        <f t="shared" si="30"/>
        <v>-32100</v>
      </c>
      <c r="H77" s="133">
        <v>-35000</v>
      </c>
      <c r="I77" s="133">
        <v>-32100</v>
      </c>
      <c r="J77" s="133"/>
      <c r="K77" s="133"/>
      <c r="L77" s="133"/>
      <c r="M77" s="133"/>
      <c r="N77" s="133"/>
      <c r="O77" s="133"/>
      <c r="P77" s="133"/>
      <c r="Q77" s="133"/>
      <c r="R77" s="133"/>
      <c r="S77" s="136"/>
      <c r="T77" s="133"/>
      <c r="U77" s="133"/>
      <c r="V77" s="133"/>
      <c r="W77" s="143"/>
      <c r="X77" s="133"/>
      <c r="Y77" s="133"/>
      <c r="Z77" s="143"/>
      <c r="AA77" s="133"/>
      <c r="AB77" s="269"/>
      <c r="AC77" s="269"/>
      <c r="AD77" s="269"/>
      <c r="AE77" s="133"/>
      <c r="AF77" s="133"/>
      <c r="AG77" s="133"/>
      <c r="AH77" s="133"/>
      <c r="AI77" s="133"/>
      <c r="AJ77" s="133"/>
      <c r="AK77" s="133"/>
      <c r="AL77" s="133"/>
      <c r="AM77" s="133"/>
      <c r="AN77" s="133"/>
      <c r="AO77" s="133"/>
      <c r="AP77" s="58"/>
      <c r="AQ77" s="133"/>
    </row>
    <row r="78" spans="1:72" ht="12.75" hidden="1" customHeight="1" x14ac:dyDescent="0.2">
      <c r="B78" s="134" t="s">
        <v>111</v>
      </c>
      <c r="C78" s="135" t="s">
        <v>221</v>
      </c>
      <c r="D78" s="136">
        <v>8112</v>
      </c>
      <c r="E78" s="136">
        <v>8410</v>
      </c>
      <c r="F78" s="136">
        <v>7130</v>
      </c>
      <c r="G78" s="133">
        <f t="shared" si="30"/>
        <v>-11740</v>
      </c>
      <c r="H78" s="133">
        <v>-12000</v>
      </c>
      <c r="I78" s="133">
        <v>-2962</v>
      </c>
      <c r="J78" s="133">
        <v>-10000</v>
      </c>
      <c r="K78" s="133">
        <v>-8778</v>
      </c>
      <c r="L78" s="133"/>
      <c r="M78" s="133"/>
      <c r="N78" s="133"/>
      <c r="O78" s="133"/>
      <c r="P78" s="133"/>
      <c r="Q78" s="133"/>
      <c r="R78" s="133"/>
      <c r="S78" s="136"/>
      <c r="T78" s="133"/>
      <c r="U78" s="133"/>
      <c r="V78" s="133"/>
      <c r="W78" s="143"/>
      <c r="X78" s="133"/>
      <c r="Y78" s="133"/>
      <c r="Z78" s="143"/>
      <c r="AA78" s="133"/>
      <c r="AB78" s="269"/>
      <c r="AC78" s="269"/>
      <c r="AD78" s="269"/>
      <c r="AE78" s="133"/>
      <c r="AF78" s="133"/>
      <c r="AG78" s="133"/>
      <c r="AH78" s="133"/>
      <c r="AI78" s="133"/>
      <c r="AJ78" s="133"/>
      <c r="AK78" s="133"/>
      <c r="AL78" s="133"/>
      <c r="AM78" s="133"/>
      <c r="AN78" s="133"/>
      <c r="AO78" s="133"/>
      <c r="AP78" s="58"/>
      <c r="AQ78" s="133"/>
    </row>
    <row r="79" spans="1:72" ht="12.75" hidden="1" customHeight="1" x14ac:dyDescent="0.2">
      <c r="B79" s="268" t="s">
        <v>107</v>
      </c>
      <c r="C79" s="135" t="s">
        <v>221</v>
      </c>
      <c r="D79" s="136">
        <v>8127</v>
      </c>
      <c r="E79" s="136">
        <v>8420</v>
      </c>
      <c r="F79" s="136">
        <v>7151</v>
      </c>
      <c r="G79" s="133">
        <f t="shared" si="30"/>
        <v>-9286.6299999999992</v>
      </c>
      <c r="H79" s="133">
        <v>-5000</v>
      </c>
      <c r="I79" s="133">
        <v>0</v>
      </c>
      <c r="J79" s="268"/>
      <c r="K79" s="133"/>
      <c r="L79" s="133">
        <v>-10000</v>
      </c>
      <c r="M79" s="133">
        <v>-9286.6299999999992</v>
      </c>
      <c r="N79" s="133"/>
      <c r="O79" s="133"/>
      <c r="P79" s="133"/>
      <c r="Q79" s="133"/>
      <c r="R79" s="133"/>
      <c r="S79" s="136"/>
      <c r="T79" s="133"/>
      <c r="U79" s="133"/>
      <c r="V79" s="133"/>
      <c r="W79" s="143"/>
      <c r="X79" s="133"/>
      <c r="Y79" s="133"/>
      <c r="Z79" s="143"/>
      <c r="AA79" s="268"/>
      <c r="AB79" s="302"/>
      <c r="AC79" s="302"/>
      <c r="AD79" s="302"/>
      <c r="AE79" s="268"/>
      <c r="AF79" s="268"/>
      <c r="AG79" s="268"/>
      <c r="AH79" s="268"/>
      <c r="AI79" s="268"/>
      <c r="AJ79" s="133"/>
      <c r="AK79" s="133"/>
      <c r="AL79" s="133"/>
      <c r="AM79" s="133"/>
      <c r="AN79" s="133"/>
      <c r="AO79" s="133"/>
      <c r="AP79" s="58"/>
      <c r="AQ79" s="268"/>
    </row>
    <row r="80" spans="1:72" s="61" customFormat="1" ht="12.75" customHeight="1" x14ac:dyDescent="0.2">
      <c r="A80" s="1"/>
      <c r="B80" s="301" t="s">
        <v>223</v>
      </c>
      <c r="C80" s="135" t="s">
        <v>221</v>
      </c>
      <c r="D80" s="315">
        <v>8128</v>
      </c>
      <c r="E80" s="315">
        <v>8410</v>
      </c>
      <c r="F80" s="315">
        <v>7150</v>
      </c>
      <c r="G80" s="133">
        <f t="shared" ref="G80:G87" si="31">SUM(M80,U80:AA80,AQ80)</f>
        <v>-115549.26000000001</v>
      </c>
      <c r="H80" s="301"/>
      <c r="I80" s="132"/>
      <c r="J80" s="301"/>
      <c r="K80" s="132"/>
      <c r="L80" s="132">
        <v>-50000</v>
      </c>
      <c r="M80" s="133">
        <v>-55549.26</v>
      </c>
      <c r="N80" s="133">
        <v>-60000</v>
      </c>
      <c r="O80" s="133">
        <v>0</v>
      </c>
      <c r="P80" s="133">
        <f t="shared" ref="P80:P87" si="32">N80+O80</f>
        <v>-60000</v>
      </c>
      <c r="Q80" s="133">
        <v>-47092.15</v>
      </c>
      <c r="R80" s="137">
        <f t="shared" ref="R80:R84" si="33">Q80/P80</f>
        <v>0.78486916666666673</v>
      </c>
      <c r="S80" s="136" t="s">
        <v>224</v>
      </c>
      <c r="T80" s="141" t="s">
        <v>173</v>
      </c>
      <c r="U80" s="132"/>
      <c r="V80" s="132"/>
      <c r="W80" s="138"/>
      <c r="X80" s="132"/>
      <c r="Y80" s="132"/>
      <c r="Z80" s="138"/>
      <c r="AA80" s="301"/>
      <c r="AB80" s="348"/>
      <c r="AC80" s="348"/>
      <c r="AD80" s="348"/>
      <c r="AE80" s="301"/>
      <c r="AF80" s="301"/>
      <c r="AG80" s="301"/>
      <c r="AH80" s="301"/>
      <c r="AI80" s="301"/>
      <c r="AJ80" s="132"/>
      <c r="AK80" s="132"/>
      <c r="AL80" s="132"/>
      <c r="AM80" s="132"/>
      <c r="AN80" s="132"/>
      <c r="AO80" s="132"/>
      <c r="AP80" s="82"/>
      <c r="AQ80" s="311">
        <v>-60000</v>
      </c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</row>
    <row r="81" spans="1:72" ht="12.75" hidden="1" customHeight="1" x14ac:dyDescent="0.2">
      <c r="B81" s="268" t="s">
        <v>100</v>
      </c>
      <c r="C81" s="135" t="s">
        <v>221</v>
      </c>
      <c r="D81" s="136">
        <v>8114</v>
      </c>
      <c r="E81" s="136">
        <v>8420</v>
      </c>
      <c r="F81" s="136">
        <v>7145</v>
      </c>
      <c r="G81" s="133">
        <f t="shared" si="31"/>
        <v>0</v>
      </c>
      <c r="H81" s="133">
        <v>-10000</v>
      </c>
      <c r="I81" s="133">
        <v>-5447</v>
      </c>
      <c r="J81" s="268"/>
      <c r="K81" s="133"/>
      <c r="L81" s="133"/>
      <c r="M81" s="133"/>
      <c r="N81" s="133"/>
      <c r="O81" s="133">
        <v>0</v>
      </c>
      <c r="P81" s="133">
        <f t="shared" si="32"/>
        <v>0</v>
      </c>
      <c r="Q81" s="133"/>
      <c r="R81" s="137" t="e">
        <f t="shared" si="33"/>
        <v>#DIV/0!</v>
      </c>
      <c r="S81" s="136"/>
      <c r="T81" s="141"/>
      <c r="U81" s="133"/>
      <c r="V81" s="133"/>
      <c r="W81" s="143"/>
      <c r="X81" s="133"/>
      <c r="Y81" s="133"/>
      <c r="Z81" s="143"/>
      <c r="AA81" s="268"/>
      <c r="AB81" s="302"/>
      <c r="AC81" s="302"/>
      <c r="AD81" s="302"/>
      <c r="AE81" s="268"/>
      <c r="AF81" s="268"/>
      <c r="AG81" s="268"/>
      <c r="AH81" s="268"/>
      <c r="AI81" s="268"/>
      <c r="AJ81" s="133"/>
      <c r="AK81" s="133"/>
      <c r="AL81" s="133"/>
      <c r="AM81" s="133"/>
      <c r="AN81" s="133"/>
      <c r="AO81" s="133"/>
      <c r="AP81" s="58"/>
      <c r="AQ81" s="268"/>
    </row>
    <row r="82" spans="1:72" ht="12.75" hidden="1" customHeight="1" x14ac:dyDescent="0.2">
      <c r="B82" s="134" t="s">
        <v>225</v>
      </c>
      <c r="C82" s="135" t="s">
        <v>221</v>
      </c>
      <c r="D82" s="136">
        <v>8160</v>
      </c>
      <c r="E82" s="136">
        <v>8410</v>
      </c>
      <c r="F82" s="136">
        <v>7153</v>
      </c>
      <c r="G82" s="133">
        <f t="shared" si="31"/>
        <v>0</v>
      </c>
      <c r="H82" s="133">
        <v>-25000</v>
      </c>
      <c r="I82" s="133">
        <v>-11807</v>
      </c>
      <c r="J82" s="133"/>
      <c r="K82" s="133"/>
      <c r="L82" s="133"/>
      <c r="M82" s="133"/>
      <c r="N82" s="133"/>
      <c r="O82" s="133">
        <v>0</v>
      </c>
      <c r="P82" s="133">
        <f t="shared" si="32"/>
        <v>0</v>
      </c>
      <c r="Q82" s="133"/>
      <c r="R82" s="137" t="e">
        <f t="shared" si="33"/>
        <v>#DIV/0!</v>
      </c>
      <c r="S82" s="136"/>
      <c r="T82" s="141"/>
      <c r="U82" s="133"/>
      <c r="V82" s="133"/>
      <c r="W82" s="143"/>
      <c r="X82" s="133"/>
      <c r="Y82" s="133"/>
      <c r="Z82" s="143"/>
      <c r="AA82" s="133"/>
      <c r="AB82" s="269"/>
      <c r="AC82" s="269"/>
      <c r="AD82" s="269"/>
      <c r="AE82" s="133"/>
      <c r="AF82" s="133"/>
      <c r="AG82" s="133"/>
      <c r="AH82" s="133"/>
      <c r="AI82" s="133"/>
      <c r="AJ82" s="133"/>
      <c r="AK82" s="133"/>
      <c r="AL82" s="133"/>
      <c r="AM82" s="133"/>
      <c r="AN82" s="133"/>
      <c r="AO82" s="133"/>
      <c r="AP82" s="58"/>
      <c r="AQ82" s="133"/>
    </row>
    <row r="83" spans="1:72" ht="12.75" customHeight="1" x14ac:dyDescent="0.2">
      <c r="B83" s="134" t="s">
        <v>226</v>
      </c>
      <c r="C83" s="135" t="s">
        <v>221</v>
      </c>
      <c r="D83" s="136">
        <v>8161</v>
      </c>
      <c r="E83" s="136">
        <v>8420</v>
      </c>
      <c r="F83" s="136">
        <v>7170</v>
      </c>
      <c r="G83" s="133">
        <f t="shared" si="31"/>
        <v>-110000</v>
      </c>
      <c r="H83" s="133"/>
      <c r="I83" s="133"/>
      <c r="J83" s="133"/>
      <c r="K83" s="133"/>
      <c r="L83" s="133"/>
      <c r="M83" s="133"/>
      <c r="N83" s="133">
        <v>-40000</v>
      </c>
      <c r="O83" s="133">
        <v>0</v>
      </c>
      <c r="P83" s="133">
        <f t="shared" si="32"/>
        <v>-40000</v>
      </c>
      <c r="Q83" s="133">
        <v>-23580</v>
      </c>
      <c r="R83" s="137">
        <f t="shared" si="33"/>
        <v>0.58950000000000002</v>
      </c>
      <c r="S83" s="140">
        <v>44593</v>
      </c>
      <c r="T83" s="141" t="s">
        <v>173</v>
      </c>
      <c r="U83" s="133">
        <v>-50000</v>
      </c>
      <c r="V83" s="133"/>
      <c r="W83" s="143"/>
      <c r="X83" s="133"/>
      <c r="Y83" s="133"/>
      <c r="Z83" s="143"/>
      <c r="AA83" s="133"/>
      <c r="AB83" s="269"/>
      <c r="AC83" s="269"/>
      <c r="AD83" s="269"/>
      <c r="AE83" s="133"/>
      <c r="AF83" s="133"/>
      <c r="AG83" s="133"/>
      <c r="AH83" s="133"/>
      <c r="AI83" s="133"/>
      <c r="AJ83" s="133"/>
      <c r="AK83" s="133"/>
      <c r="AL83" s="133"/>
      <c r="AM83" s="133"/>
      <c r="AN83" s="133"/>
      <c r="AO83" s="133"/>
      <c r="AP83" s="58"/>
      <c r="AQ83" s="133">
        <v>-60000</v>
      </c>
    </row>
    <row r="84" spans="1:72" ht="12.75" customHeight="1" x14ac:dyDescent="0.2">
      <c r="B84" s="134" t="s">
        <v>227</v>
      </c>
      <c r="C84" s="135" t="s">
        <v>221</v>
      </c>
      <c r="D84" s="136">
        <v>8162</v>
      </c>
      <c r="E84" s="136">
        <v>8410</v>
      </c>
      <c r="F84" s="136">
        <v>7130</v>
      </c>
      <c r="G84" s="133">
        <f t="shared" si="31"/>
        <v>-10000</v>
      </c>
      <c r="H84" s="133"/>
      <c r="I84" s="133"/>
      <c r="J84" s="133"/>
      <c r="K84" s="133"/>
      <c r="L84" s="133"/>
      <c r="M84" s="133"/>
      <c r="N84" s="133">
        <v>-10000</v>
      </c>
      <c r="O84" s="133">
        <v>0</v>
      </c>
      <c r="P84" s="133">
        <f t="shared" si="32"/>
        <v>-10000</v>
      </c>
      <c r="Q84" s="133">
        <v>-9504.0300000000007</v>
      </c>
      <c r="R84" s="137">
        <f t="shared" si="33"/>
        <v>0.95040300000000011</v>
      </c>
      <c r="S84" s="136"/>
      <c r="T84" s="141" t="s">
        <v>173</v>
      </c>
      <c r="U84" s="133"/>
      <c r="V84" s="133"/>
      <c r="W84" s="143"/>
      <c r="X84" s="133"/>
      <c r="Y84" s="133"/>
      <c r="Z84" s="143"/>
      <c r="AA84" s="133"/>
      <c r="AB84" s="269"/>
      <c r="AC84" s="269"/>
      <c r="AD84" s="269"/>
      <c r="AE84" s="133"/>
      <c r="AF84" s="133"/>
      <c r="AG84" s="133"/>
      <c r="AH84" s="133"/>
      <c r="AI84" s="133"/>
      <c r="AJ84" s="133"/>
      <c r="AK84" s="133"/>
      <c r="AL84" s="133"/>
      <c r="AM84" s="133"/>
      <c r="AN84" s="133"/>
      <c r="AO84" s="133"/>
      <c r="AP84" s="58"/>
      <c r="AQ84" s="133">
        <v>-10000</v>
      </c>
    </row>
    <row r="85" spans="1:72" ht="12.75" hidden="1" customHeight="1" x14ac:dyDescent="0.2">
      <c r="B85" s="134" t="s">
        <v>116</v>
      </c>
      <c r="C85" s="135" t="s">
        <v>221</v>
      </c>
      <c r="D85" s="136">
        <v>8163</v>
      </c>
      <c r="E85" s="136">
        <v>8430</v>
      </c>
      <c r="F85" s="136">
        <v>7153</v>
      </c>
      <c r="G85" s="133">
        <f t="shared" si="31"/>
        <v>0</v>
      </c>
      <c r="H85" s="133">
        <v>-10000</v>
      </c>
      <c r="I85" s="133">
        <v>-3546</v>
      </c>
      <c r="J85" s="133"/>
      <c r="K85" s="133"/>
      <c r="L85" s="133"/>
      <c r="M85" s="133"/>
      <c r="N85" s="133"/>
      <c r="O85" s="133"/>
      <c r="P85" s="133">
        <f t="shared" si="32"/>
        <v>0</v>
      </c>
      <c r="Q85" s="133"/>
      <c r="R85" s="133"/>
      <c r="S85" s="136"/>
      <c r="T85" s="133"/>
      <c r="U85" s="133"/>
      <c r="V85" s="133"/>
      <c r="W85" s="143"/>
      <c r="X85" s="133"/>
      <c r="Y85" s="133"/>
      <c r="Z85" s="143"/>
      <c r="AA85" s="133"/>
      <c r="AB85" s="269"/>
      <c r="AC85" s="269"/>
      <c r="AD85" s="269"/>
      <c r="AE85" s="133"/>
      <c r="AF85" s="133"/>
      <c r="AG85" s="133"/>
      <c r="AH85" s="133"/>
      <c r="AI85" s="133"/>
      <c r="AJ85" s="133"/>
      <c r="AK85" s="133"/>
      <c r="AL85" s="133"/>
      <c r="AM85" s="133"/>
      <c r="AN85" s="133"/>
      <c r="AO85" s="133"/>
      <c r="AP85" s="58"/>
      <c r="AQ85" s="133"/>
    </row>
    <row r="86" spans="1:72" ht="12.75" hidden="1" customHeight="1" x14ac:dyDescent="0.2">
      <c r="B86" s="134" t="s">
        <v>228</v>
      </c>
      <c r="C86" s="135"/>
      <c r="D86" s="136"/>
      <c r="E86" s="136"/>
      <c r="F86" s="136"/>
      <c r="G86" s="133">
        <f t="shared" si="31"/>
        <v>0</v>
      </c>
      <c r="H86" s="133">
        <v>-10000</v>
      </c>
      <c r="I86" s="133">
        <v>0</v>
      </c>
      <c r="J86" s="133"/>
      <c r="K86" s="133"/>
      <c r="L86" s="133"/>
      <c r="M86" s="133"/>
      <c r="N86" s="133"/>
      <c r="O86" s="133"/>
      <c r="P86" s="133">
        <f t="shared" si="32"/>
        <v>0</v>
      </c>
      <c r="Q86" s="133"/>
      <c r="R86" s="133"/>
      <c r="S86" s="136"/>
      <c r="T86" s="133"/>
      <c r="U86" s="133"/>
      <c r="V86" s="133"/>
      <c r="W86" s="143"/>
      <c r="X86" s="133"/>
      <c r="Y86" s="133"/>
      <c r="Z86" s="143"/>
      <c r="AA86" s="133"/>
      <c r="AB86" s="269"/>
      <c r="AC86" s="269"/>
      <c r="AD86" s="269"/>
      <c r="AE86" s="133"/>
      <c r="AF86" s="133"/>
      <c r="AG86" s="133"/>
      <c r="AH86" s="133"/>
      <c r="AI86" s="133"/>
      <c r="AJ86" s="133"/>
      <c r="AK86" s="133"/>
      <c r="AL86" s="133"/>
      <c r="AM86" s="133"/>
      <c r="AN86" s="133"/>
      <c r="AO86" s="133"/>
      <c r="AP86" s="58"/>
      <c r="AQ86" s="133"/>
    </row>
    <row r="87" spans="1:72" ht="12.75" customHeight="1" x14ac:dyDescent="0.2">
      <c r="B87" s="134" t="s">
        <v>256</v>
      </c>
      <c r="C87" s="135"/>
      <c r="D87" s="136"/>
      <c r="E87" s="136"/>
      <c r="F87" s="136"/>
      <c r="G87" s="133">
        <f t="shared" si="31"/>
        <v>-10000</v>
      </c>
      <c r="H87" s="133"/>
      <c r="I87" s="133"/>
      <c r="J87" s="133"/>
      <c r="K87" s="133"/>
      <c r="L87" s="133"/>
      <c r="M87" s="133"/>
      <c r="N87" s="133"/>
      <c r="O87" s="133"/>
      <c r="P87" s="133">
        <f t="shared" si="32"/>
        <v>0</v>
      </c>
      <c r="Q87" s="133"/>
      <c r="R87" s="133"/>
      <c r="S87" s="136"/>
      <c r="T87" s="133"/>
      <c r="U87" s="133">
        <v>-10000</v>
      </c>
      <c r="V87" s="133"/>
      <c r="W87" s="143"/>
      <c r="X87" s="133"/>
      <c r="Y87" s="133"/>
      <c r="Z87" s="143"/>
      <c r="AA87" s="133"/>
      <c r="AB87" s="269"/>
      <c r="AC87" s="269"/>
      <c r="AD87" s="269"/>
      <c r="AE87" s="133"/>
      <c r="AF87" s="133"/>
      <c r="AG87" s="133"/>
      <c r="AH87" s="133"/>
      <c r="AI87" s="133"/>
      <c r="AJ87" s="133"/>
      <c r="AK87" s="133"/>
      <c r="AL87" s="133"/>
      <c r="AM87" s="133"/>
      <c r="AN87" s="133"/>
      <c r="AO87" s="133"/>
      <c r="AP87" s="58"/>
      <c r="AQ87" s="133"/>
    </row>
    <row r="88" spans="1:72" ht="12.75" customHeight="1" x14ac:dyDescent="0.2">
      <c r="B88" s="350"/>
      <c r="C88" s="344"/>
      <c r="D88" s="345"/>
      <c r="E88" s="345"/>
      <c r="F88" s="345"/>
      <c r="G88" s="307"/>
      <c r="H88" s="307"/>
      <c r="I88" s="307"/>
      <c r="J88" s="307"/>
      <c r="K88" s="307"/>
      <c r="L88" s="307"/>
      <c r="M88" s="133"/>
      <c r="N88" s="133"/>
      <c r="O88" s="133"/>
      <c r="P88" s="133"/>
      <c r="Q88" s="133"/>
      <c r="R88" s="133"/>
      <c r="S88" s="136"/>
      <c r="T88" s="133"/>
      <c r="U88" s="307"/>
      <c r="V88" s="307"/>
      <c r="W88" s="303"/>
      <c r="X88" s="307"/>
      <c r="Y88" s="307"/>
      <c r="Z88" s="303"/>
      <c r="AA88" s="307"/>
      <c r="AB88" s="322"/>
      <c r="AC88" s="322"/>
      <c r="AD88" s="269"/>
      <c r="AE88" s="133"/>
      <c r="AF88" s="133"/>
      <c r="AG88" s="133"/>
      <c r="AH88" s="133"/>
      <c r="AI88" s="133"/>
      <c r="AJ88" s="133"/>
      <c r="AK88" s="133"/>
      <c r="AL88" s="133"/>
      <c r="AM88" s="133"/>
      <c r="AN88" s="133"/>
      <c r="AO88" s="133"/>
      <c r="AP88" s="58"/>
      <c r="AQ88" s="133"/>
    </row>
    <row r="89" spans="1:72" ht="12.75" customHeight="1" x14ac:dyDescent="0.2">
      <c r="B89" s="350"/>
      <c r="C89" s="344"/>
      <c r="D89" s="345"/>
      <c r="E89" s="345"/>
      <c r="F89" s="345"/>
      <c r="G89" s="307"/>
      <c r="H89" s="307"/>
      <c r="I89" s="307"/>
      <c r="J89" s="307"/>
      <c r="K89" s="307"/>
      <c r="L89" s="307"/>
      <c r="M89" s="133"/>
      <c r="N89" s="133"/>
      <c r="O89" s="133"/>
      <c r="P89" s="133"/>
      <c r="Q89" s="133"/>
      <c r="R89" s="133"/>
      <c r="S89" s="136"/>
      <c r="T89" s="133"/>
      <c r="U89" s="307"/>
      <c r="V89" s="307"/>
      <c r="W89" s="303"/>
      <c r="X89" s="307"/>
      <c r="Y89" s="307"/>
      <c r="Z89" s="303"/>
      <c r="AA89" s="307"/>
      <c r="AB89" s="322"/>
      <c r="AC89" s="322"/>
      <c r="AD89" s="269"/>
      <c r="AE89" s="133"/>
      <c r="AF89" s="133"/>
      <c r="AG89" s="133"/>
      <c r="AH89" s="133"/>
      <c r="AI89" s="133"/>
      <c r="AJ89" s="133"/>
      <c r="AK89" s="133"/>
      <c r="AL89" s="133"/>
      <c r="AM89" s="133"/>
      <c r="AN89" s="133"/>
      <c r="AO89" s="133"/>
      <c r="AP89" s="58"/>
      <c r="AQ89" s="133"/>
    </row>
    <row r="90" spans="1:72" ht="12.75" customHeight="1" x14ac:dyDescent="0.2">
      <c r="B90" s="350"/>
      <c r="C90" s="344"/>
      <c r="D90" s="345"/>
      <c r="E90" s="345"/>
      <c r="F90" s="345"/>
      <c r="G90" s="307"/>
      <c r="H90" s="307"/>
      <c r="I90" s="307"/>
      <c r="J90" s="307"/>
      <c r="K90" s="307"/>
      <c r="L90" s="307"/>
      <c r="M90" s="133"/>
      <c r="N90" s="133"/>
      <c r="O90" s="133"/>
      <c r="P90" s="133"/>
      <c r="Q90" s="133"/>
      <c r="R90" s="133"/>
      <c r="S90" s="136"/>
      <c r="T90" s="133"/>
      <c r="U90" s="307"/>
      <c r="V90" s="307"/>
      <c r="W90" s="303"/>
      <c r="X90" s="307"/>
      <c r="Y90" s="307"/>
      <c r="Z90" s="303"/>
      <c r="AA90" s="307"/>
      <c r="AB90" s="322"/>
      <c r="AC90" s="322"/>
      <c r="AD90" s="269"/>
      <c r="AE90" s="133"/>
      <c r="AF90" s="133"/>
      <c r="AG90" s="133"/>
      <c r="AH90" s="133"/>
      <c r="AI90" s="133"/>
      <c r="AJ90" s="133"/>
      <c r="AK90" s="133"/>
      <c r="AL90" s="133"/>
      <c r="AM90" s="133"/>
      <c r="AN90" s="133"/>
      <c r="AO90" s="133"/>
      <c r="AP90" s="58"/>
      <c r="AQ90" s="133"/>
    </row>
    <row r="91" spans="1:72" s="57" customFormat="1" ht="12.75" customHeight="1" x14ac:dyDescent="0.2">
      <c r="A91" s="7"/>
      <c r="B91" s="262" t="s">
        <v>229</v>
      </c>
      <c r="C91" s="263"/>
      <c r="D91" s="264"/>
      <c r="E91" s="264"/>
      <c r="F91" s="264"/>
      <c r="G91" s="271">
        <f>SUM(G80,G83,G84,G87,G88,G89,G90)</f>
        <v>-245549.26</v>
      </c>
      <c r="H91" s="271">
        <f t="shared" ref="H91:M91" si="34">SUM(H80,H83,H84,H87,H88,H89,H90)</f>
        <v>0</v>
      </c>
      <c r="I91" s="271">
        <f t="shared" si="34"/>
        <v>0</v>
      </c>
      <c r="J91" s="271">
        <f t="shared" si="34"/>
        <v>0</v>
      </c>
      <c r="K91" s="271">
        <f t="shared" si="34"/>
        <v>0</v>
      </c>
      <c r="L91" s="271">
        <f t="shared" si="34"/>
        <v>-50000</v>
      </c>
      <c r="M91" s="271">
        <f t="shared" si="34"/>
        <v>-55549.26</v>
      </c>
      <c r="N91" s="271">
        <f>SUM(N76:N90)</f>
        <v>-110000</v>
      </c>
      <c r="O91" s="271">
        <f t="shared" ref="O91:P91" si="35">SUM(O76:O90)</f>
        <v>0</v>
      </c>
      <c r="P91" s="271">
        <f t="shared" si="35"/>
        <v>-110000</v>
      </c>
      <c r="Q91" s="271">
        <f>SUM(Q76:Q90)</f>
        <v>-81176.179999999993</v>
      </c>
      <c r="R91" s="272">
        <f>Q91/P91</f>
        <v>0.73796527272727264</v>
      </c>
      <c r="S91" s="271"/>
      <c r="T91" s="271"/>
      <c r="U91" s="271">
        <f>SUM(U76:U90)</f>
        <v>-60000</v>
      </c>
      <c r="V91" s="271"/>
      <c r="W91" s="266"/>
      <c r="X91" s="271">
        <f>SUM(X76:X90)</f>
        <v>0</v>
      </c>
      <c r="Y91" s="271"/>
      <c r="Z91" s="266"/>
      <c r="AA91" s="271">
        <f>SUM(AA76:AA90)</f>
        <v>0</v>
      </c>
      <c r="AB91" s="273"/>
      <c r="AC91" s="273"/>
      <c r="AD91" s="273">
        <f t="shared" ref="AD91:AO91" si="36">SUM(AD74:AD86)</f>
        <v>0</v>
      </c>
      <c r="AE91" s="271">
        <f t="shared" si="36"/>
        <v>0</v>
      </c>
      <c r="AF91" s="271">
        <f t="shared" si="36"/>
        <v>0</v>
      </c>
      <c r="AG91" s="271">
        <f t="shared" si="36"/>
        <v>0</v>
      </c>
      <c r="AH91" s="271">
        <f t="shared" si="36"/>
        <v>0</v>
      </c>
      <c r="AI91" s="271">
        <f t="shared" si="36"/>
        <v>0</v>
      </c>
      <c r="AJ91" s="271">
        <f t="shared" si="36"/>
        <v>0</v>
      </c>
      <c r="AK91" s="271">
        <f t="shared" si="36"/>
        <v>0</v>
      </c>
      <c r="AL91" s="271">
        <f t="shared" si="36"/>
        <v>0</v>
      </c>
      <c r="AM91" s="271">
        <f t="shared" si="36"/>
        <v>0</v>
      </c>
      <c r="AN91" s="271">
        <f t="shared" si="36"/>
        <v>0</v>
      </c>
      <c r="AO91" s="271">
        <f t="shared" si="36"/>
        <v>0</v>
      </c>
      <c r="AP91" s="59"/>
      <c r="AQ91" s="271">
        <f>SUM(AQ76:AQ90)</f>
        <v>-131000</v>
      </c>
      <c r="AR91" s="1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</row>
    <row r="92" spans="1:72" s="7" customFormat="1" ht="12.75" customHeight="1" x14ac:dyDescent="0.2">
      <c r="B92" s="145"/>
      <c r="C92" s="149"/>
      <c r="D92" s="254"/>
      <c r="E92" s="254"/>
      <c r="F92" s="254"/>
      <c r="G92" s="275"/>
      <c r="H92" s="275"/>
      <c r="I92" s="275"/>
      <c r="J92" s="275"/>
      <c r="K92" s="275"/>
      <c r="L92" s="275"/>
      <c r="M92" s="275"/>
      <c r="N92" s="275"/>
      <c r="O92" s="275"/>
      <c r="P92" s="275"/>
      <c r="Q92" s="275"/>
      <c r="R92" s="275"/>
      <c r="S92" s="254"/>
      <c r="T92" s="275"/>
      <c r="U92" s="275"/>
      <c r="V92" s="275"/>
      <c r="W92" s="255"/>
      <c r="X92" s="275"/>
      <c r="Y92" s="275"/>
      <c r="Z92" s="255"/>
      <c r="AA92" s="275"/>
      <c r="AB92" s="276"/>
      <c r="AC92" s="276"/>
      <c r="AD92" s="276"/>
      <c r="AE92" s="275"/>
      <c r="AF92" s="275"/>
      <c r="AG92" s="275"/>
      <c r="AH92" s="275"/>
      <c r="AI92" s="275"/>
      <c r="AJ92" s="275"/>
      <c r="AK92" s="275"/>
      <c r="AL92" s="275"/>
      <c r="AM92" s="275"/>
      <c r="AN92" s="275"/>
      <c r="AO92" s="275"/>
      <c r="AP92" s="58"/>
      <c r="AQ92" s="275"/>
      <c r="AR92" s="1"/>
    </row>
    <row r="93" spans="1:72" s="7" customFormat="1" ht="39" customHeight="1" x14ac:dyDescent="0.2">
      <c r="B93" s="243"/>
      <c r="C93" s="244" t="s">
        <v>2</v>
      </c>
      <c r="D93" s="251" t="s">
        <v>136</v>
      </c>
      <c r="E93" s="247" t="s">
        <v>137</v>
      </c>
      <c r="F93" s="247" t="s">
        <v>138</v>
      </c>
      <c r="G93" s="246" t="s">
        <v>139</v>
      </c>
      <c r="H93" s="247" t="s">
        <v>140</v>
      </c>
      <c r="I93" s="247" t="s">
        <v>141</v>
      </c>
      <c r="J93" s="247" t="s">
        <v>142</v>
      </c>
      <c r="K93" s="247" t="s">
        <v>143</v>
      </c>
      <c r="L93" s="247" t="s">
        <v>144</v>
      </c>
      <c r="M93" s="246" t="s">
        <v>145</v>
      </c>
      <c r="N93" s="246" t="s">
        <v>146</v>
      </c>
      <c r="O93" s="246" t="s">
        <v>147</v>
      </c>
      <c r="P93" s="246" t="s">
        <v>148</v>
      </c>
      <c r="Q93" s="246" t="s">
        <v>149</v>
      </c>
      <c r="R93" s="246" t="s">
        <v>150</v>
      </c>
      <c r="S93" s="246" t="s">
        <v>151</v>
      </c>
      <c r="T93" s="246" t="s">
        <v>152</v>
      </c>
      <c r="U93" s="246" t="s">
        <v>153</v>
      </c>
      <c r="V93" s="246" t="s">
        <v>151</v>
      </c>
      <c r="W93" s="248" t="s">
        <v>152</v>
      </c>
      <c r="X93" s="246" t="s">
        <v>154</v>
      </c>
      <c r="Y93" s="246" t="s">
        <v>151</v>
      </c>
      <c r="Z93" s="248" t="s">
        <v>152</v>
      </c>
      <c r="AA93" s="246">
        <v>2025</v>
      </c>
      <c r="AB93" s="246" t="s">
        <v>151</v>
      </c>
      <c r="AC93" s="246" t="s">
        <v>152</v>
      </c>
      <c r="AD93" s="354">
        <v>2026</v>
      </c>
      <c r="AE93" s="249">
        <v>2027</v>
      </c>
      <c r="AF93" s="249">
        <v>2028</v>
      </c>
      <c r="AG93" s="249">
        <v>2029</v>
      </c>
      <c r="AH93" s="249">
        <v>2030</v>
      </c>
      <c r="AI93" s="249">
        <v>2031</v>
      </c>
      <c r="AJ93" s="342">
        <v>2026</v>
      </c>
      <c r="AK93" s="342">
        <v>2027</v>
      </c>
      <c r="AL93" s="342">
        <v>2028</v>
      </c>
      <c r="AM93" s="342">
        <v>2029</v>
      </c>
      <c r="AN93" s="342">
        <v>2029</v>
      </c>
      <c r="AO93" s="342">
        <v>2030</v>
      </c>
      <c r="AP93"/>
      <c r="AQ93" s="246" t="s">
        <v>253</v>
      </c>
      <c r="AR93" s="1"/>
    </row>
    <row r="94" spans="1:72" s="57" customFormat="1" ht="12.75" customHeight="1" x14ac:dyDescent="0.2">
      <c r="A94" s="7"/>
      <c r="B94" s="263" t="s">
        <v>201</v>
      </c>
      <c r="C94" s="263"/>
      <c r="D94" s="264"/>
      <c r="E94" s="264"/>
      <c r="F94" s="264"/>
      <c r="G94" s="264"/>
      <c r="H94" s="264"/>
      <c r="I94" s="264"/>
      <c r="J94" s="264"/>
      <c r="K94" s="264"/>
      <c r="L94" s="264"/>
      <c r="M94" s="264"/>
      <c r="N94" s="264"/>
      <c r="O94" s="264"/>
      <c r="P94" s="264"/>
      <c r="Q94" s="264"/>
      <c r="R94" s="264"/>
      <c r="S94" s="264"/>
      <c r="T94" s="264"/>
      <c r="U94" s="264"/>
      <c r="V94" s="264"/>
      <c r="W94" s="266"/>
      <c r="X94" s="264"/>
      <c r="Y94" s="264"/>
      <c r="Z94" s="266"/>
      <c r="AA94" s="264"/>
      <c r="AB94" s="355"/>
      <c r="AC94" s="355"/>
      <c r="AD94" s="355"/>
      <c r="AE94" s="264"/>
      <c r="AF94" s="264"/>
      <c r="AG94" s="264"/>
      <c r="AH94" s="264"/>
      <c r="AI94" s="264"/>
      <c r="AJ94" s="264"/>
      <c r="AK94" s="264"/>
      <c r="AL94" s="264"/>
      <c r="AM94" s="264"/>
      <c r="AN94" s="264"/>
      <c r="AO94" s="264"/>
      <c r="AP94" s="58"/>
      <c r="AQ94" s="264"/>
      <c r="AR94" s="1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</row>
    <row r="95" spans="1:72" ht="12.75" customHeight="1" x14ac:dyDescent="0.2">
      <c r="B95" s="134" t="s">
        <v>230</v>
      </c>
      <c r="C95" s="135"/>
      <c r="D95" s="136">
        <v>8164</v>
      </c>
      <c r="E95" s="136">
        <v>8450</v>
      </c>
      <c r="F95" s="136">
        <v>7520</v>
      </c>
      <c r="G95" s="133">
        <f t="shared" ref="G95:G118" si="37">SUM(M95,U95:AA95,AQ95)</f>
        <v>-210000</v>
      </c>
      <c r="H95" s="132"/>
      <c r="I95" s="132"/>
      <c r="J95" s="132"/>
      <c r="K95" s="132"/>
      <c r="L95" s="132"/>
      <c r="M95" s="133"/>
      <c r="N95" s="133">
        <v>-10000</v>
      </c>
      <c r="O95" s="133">
        <v>0</v>
      </c>
      <c r="P95" s="133">
        <f t="shared" ref="P95:P118" si="38">N95+O95</f>
        <v>-10000</v>
      </c>
      <c r="Q95" s="133">
        <v>0</v>
      </c>
      <c r="R95" s="137">
        <f t="shared" ref="R95:R121" si="39">Q95/P95</f>
        <v>0</v>
      </c>
      <c r="S95" s="143" t="s">
        <v>231</v>
      </c>
      <c r="T95" s="141" t="s">
        <v>173</v>
      </c>
      <c r="U95" s="132">
        <v>-200000</v>
      </c>
      <c r="V95" s="132"/>
      <c r="W95" s="143" t="s">
        <v>174</v>
      </c>
      <c r="X95" s="132"/>
      <c r="Y95" s="132"/>
      <c r="Z95" s="138"/>
      <c r="AA95" s="132"/>
      <c r="AB95" s="349"/>
      <c r="AC95" s="349"/>
      <c r="AD95" s="349"/>
      <c r="AE95" s="132"/>
      <c r="AF95" s="132"/>
      <c r="AG95" s="132"/>
      <c r="AH95" s="132"/>
      <c r="AI95" s="132"/>
      <c r="AJ95" s="132"/>
      <c r="AK95" s="133"/>
      <c r="AL95" s="133"/>
      <c r="AM95" s="133"/>
      <c r="AN95" s="133"/>
      <c r="AO95" s="133"/>
      <c r="AP95" s="58"/>
      <c r="AQ95" s="132">
        <v>-10000</v>
      </c>
    </row>
    <row r="96" spans="1:72" ht="12.75" customHeight="1" x14ac:dyDescent="0.2">
      <c r="B96" s="134" t="s">
        <v>92</v>
      </c>
      <c r="C96" s="135"/>
      <c r="D96" s="136">
        <v>8111</v>
      </c>
      <c r="E96" s="136">
        <v>8440</v>
      </c>
      <c r="F96" s="136">
        <v>7520</v>
      </c>
      <c r="G96" s="133">
        <f t="shared" si="37"/>
        <v>-58812.520000000004</v>
      </c>
      <c r="H96" s="132">
        <v>-20000</v>
      </c>
      <c r="I96" s="132">
        <v>-22466</v>
      </c>
      <c r="J96" s="132">
        <v>-20000</v>
      </c>
      <c r="K96" s="132">
        <v>-20311</v>
      </c>
      <c r="L96" s="132">
        <v>-20000</v>
      </c>
      <c r="M96" s="133">
        <v>-18812.52</v>
      </c>
      <c r="N96" s="133">
        <v>-20000</v>
      </c>
      <c r="O96" s="133">
        <v>0</v>
      </c>
      <c r="P96" s="133">
        <f t="shared" si="38"/>
        <v>-20000</v>
      </c>
      <c r="Q96" s="133">
        <v>-22063.4</v>
      </c>
      <c r="R96" s="137">
        <f t="shared" si="39"/>
        <v>1.10317</v>
      </c>
      <c r="S96" s="136"/>
      <c r="T96" s="141" t="s">
        <v>173</v>
      </c>
      <c r="U96" s="132">
        <v>-20000</v>
      </c>
      <c r="V96" s="132"/>
      <c r="W96" s="143" t="s">
        <v>174</v>
      </c>
      <c r="X96" s="132"/>
      <c r="Y96" s="132"/>
      <c r="Z96" s="138"/>
      <c r="AA96" s="132"/>
      <c r="AB96" s="349"/>
      <c r="AC96" s="349"/>
      <c r="AD96" s="349"/>
      <c r="AE96" s="132"/>
      <c r="AF96" s="132"/>
      <c r="AG96" s="132"/>
      <c r="AH96" s="132"/>
      <c r="AI96" s="132"/>
      <c r="AJ96" s="132"/>
      <c r="AK96" s="133"/>
      <c r="AL96" s="133"/>
      <c r="AM96" s="133"/>
      <c r="AN96" s="133"/>
      <c r="AO96" s="133"/>
      <c r="AP96" s="58"/>
      <c r="AQ96" s="132">
        <v>-20000</v>
      </c>
    </row>
    <row r="97" spans="2:43" ht="12.75" customHeight="1" x14ac:dyDescent="0.2">
      <c r="B97" s="134" t="s">
        <v>205</v>
      </c>
      <c r="C97" s="135"/>
      <c r="D97" s="136">
        <v>8129</v>
      </c>
      <c r="E97" s="136">
        <v>8440</v>
      </c>
      <c r="F97" s="136" t="s">
        <v>232</v>
      </c>
      <c r="G97" s="133">
        <f t="shared" si="37"/>
        <v>-30000</v>
      </c>
      <c r="H97" s="132"/>
      <c r="I97" s="132"/>
      <c r="J97" s="132"/>
      <c r="K97" s="132"/>
      <c r="L97" s="133">
        <v>0</v>
      </c>
      <c r="M97" s="133">
        <v>0</v>
      </c>
      <c r="N97" s="133">
        <v>-30000</v>
      </c>
      <c r="O97" s="133">
        <v>0</v>
      </c>
      <c r="P97" s="133">
        <f t="shared" si="38"/>
        <v>-30000</v>
      </c>
      <c r="Q97" s="133">
        <v>0</v>
      </c>
      <c r="R97" s="137">
        <f t="shared" si="39"/>
        <v>0</v>
      </c>
      <c r="S97" s="143" t="s">
        <v>177</v>
      </c>
      <c r="T97" s="141" t="s">
        <v>173</v>
      </c>
      <c r="U97" s="132"/>
      <c r="V97" s="132"/>
      <c r="W97" s="138"/>
      <c r="X97" s="132"/>
      <c r="Y97" s="132"/>
      <c r="Z97" s="138"/>
      <c r="AA97" s="132"/>
      <c r="AB97" s="349"/>
      <c r="AC97" s="349"/>
      <c r="AD97" s="349"/>
      <c r="AE97" s="132"/>
      <c r="AF97" s="132"/>
      <c r="AG97" s="132"/>
      <c r="AH97" s="132"/>
      <c r="AI97" s="132"/>
      <c r="AJ97" s="132"/>
      <c r="AK97" s="133"/>
      <c r="AL97" s="133"/>
      <c r="AM97" s="133"/>
      <c r="AN97" s="133"/>
      <c r="AO97" s="133"/>
      <c r="AP97" s="58"/>
      <c r="AQ97" s="132">
        <v>-30000</v>
      </c>
    </row>
    <row r="98" spans="2:43" ht="12.75" customHeight="1" x14ac:dyDescent="0.2">
      <c r="B98" s="134" t="s">
        <v>70</v>
      </c>
      <c r="C98" s="135"/>
      <c r="D98" s="136">
        <v>8165</v>
      </c>
      <c r="E98" s="136">
        <v>8440</v>
      </c>
      <c r="F98" s="136" t="s">
        <v>232</v>
      </c>
      <c r="G98" s="133">
        <f t="shared" si="37"/>
        <v>-10000</v>
      </c>
      <c r="H98" s="132"/>
      <c r="I98" s="132"/>
      <c r="J98" s="132">
        <v>0</v>
      </c>
      <c r="K98" s="132">
        <v>0</v>
      </c>
      <c r="L98" s="132"/>
      <c r="M98" s="133"/>
      <c r="N98" s="133"/>
      <c r="O98" s="133">
        <v>0</v>
      </c>
      <c r="P98" s="133">
        <f t="shared" si="38"/>
        <v>0</v>
      </c>
      <c r="Q98" s="133"/>
      <c r="R98" s="137"/>
      <c r="S98" s="136"/>
      <c r="T98" s="141"/>
      <c r="U98" s="132"/>
      <c r="V98" s="132"/>
      <c r="W98" s="138"/>
      <c r="X98" s="132">
        <v>-10000</v>
      </c>
      <c r="Y98" s="132"/>
      <c r="Z98" s="138"/>
      <c r="AA98" s="139"/>
      <c r="AB98" s="349"/>
      <c r="AC98" s="349"/>
      <c r="AD98" s="349"/>
      <c r="AE98" s="132"/>
      <c r="AF98" s="132"/>
      <c r="AG98" s="132"/>
      <c r="AH98" s="132"/>
      <c r="AI98" s="132"/>
      <c r="AJ98" s="132"/>
      <c r="AK98" s="133"/>
      <c r="AL98" s="133"/>
      <c r="AM98" s="133"/>
      <c r="AN98" s="133"/>
      <c r="AO98" s="133"/>
      <c r="AP98" s="58"/>
      <c r="AQ98" s="132"/>
    </row>
    <row r="99" spans="2:43" ht="12.75" customHeight="1" x14ac:dyDescent="0.2">
      <c r="B99" s="134" t="s">
        <v>233</v>
      </c>
      <c r="C99" s="135"/>
      <c r="D99" s="136">
        <v>8166</v>
      </c>
      <c r="E99" s="136">
        <v>8440</v>
      </c>
      <c r="F99" s="136" t="s">
        <v>232</v>
      </c>
      <c r="G99" s="133">
        <f t="shared" si="37"/>
        <v>0</v>
      </c>
      <c r="H99" s="132">
        <v>-100000</v>
      </c>
      <c r="I99" s="132">
        <v>0</v>
      </c>
      <c r="J99" s="132">
        <v>-20000</v>
      </c>
      <c r="K99" s="132">
        <v>0</v>
      </c>
      <c r="L99" s="133"/>
      <c r="M99" s="133"/>
      <c r="N99" s="133">
        <v>-200000</v>
      </c>
      <c r="O99" s="289">
        <v>200000</v>
      </c>
      <c r="P99" s="289">
        <f t="shared" si="38"/>
        <v>0</v>
      </c>
      <c r="Q99" s="133">
        <v>0</v>
      </c>
      <c r="R99" s="137">
        <v>0</v>
      </c>
      <c r="S99" s="310">
        <v>44241</v>
      </c>
      <c r="T99" s="142" t="s">
        <v>173</v>
      </c>
      <c r="U99" s="132"/>
      <c r="V99" s="132"/>
      <c r="W99" s="138"/>
      <c r="X99" s="132"/>
      <c r="Y99" s="132"/>
      <c r="Z99" s="138"/>
      <c r="AA99" s="132"/>
      <c r="AB99" s="349"/>
      <c r="AC99" s="349"/>
      <c r="AD99" s="349"/>
      <c r="AE99" s="132"/>
      <c r="AF99" s="132"/>
      <c r="AG99" s="132"/>
      <c r="AH99" s="132"/>
      <c r="AI99" s="132"/>
      <c r="AJ99" s="132"/>
      <c r="AK99" s="133"/>
      <c r="AL99" s="133"/>
      <c r="AM99" s="133"/>
      <c r="AN99" s="133"/>
      <c r="AO99" s="133"/>
      <c r="AP99" s="58"/>
      <c r="AQ99" s="132">
        <v>0</v>
      </c>
    </row>
    <row r="100" spans="2:43" ht="12.75" hidden="1" customHeight="1" x14ac:dyDescent="0.2">
      <c r="B100" s="134" t="s">
        <v>234</v>
      </c>
      <c r="C100" s="135"/>
      <c r="D100" s="136">
        <v>8144</v>
      </c>
      <c r="E100" s="136">
        <v>8440</v>
      </c>
      <c r="F100" s="136" t="s">
        <v>232</v>
      </c>
      <c r="G100" s="133">
        <f t="shared" si="37"/>
        <v>-18920</v>
      </c>
      <c r="H100" s="132"/>
      <c r="I100" s="132"/>
      <c r="J100" s="132"/>
      <c r="K100" s="132"/>
      <c r="L100" s="133">
        <v>-18920</v>
      </c>
      <c r="M100" s="133">
        <v>-18920</v>
      </c>
      <c r="N100" s="133"/>
      <c r="O100" s="133">
        <v>0</v>
      </c>
      <c r="P100" s="133">
        <f t="shared" si="38"/>
        <v>0</v>
      </c>
      <c r="Q100" s="133"/>
      <c r="R100" s="137" t="e">
        <f t="shared" si="39"/>
        <v>#DIV/0!</v>
      </c>
      <c r="S100" s="290"/>
      <c r="T100" s="291"/>
      <c r="U100" s="132"/>
      <c r="V100" s="132"/>
      <c r="W100" s="138"/>
      <c r="X100" s="132"/>
      <c r="Y100" s="132"/>
      <c r="Z100" s="138"/>
      <c r="AA100" s="132"/>
      <c r="AB100" s="356"/>
      <c r="AC100" s="356"/>
      <c r="AD100" s="356"/>
      <c r="AE100" s="356"/>
      <c r="AF100" s="356"/>
      <c r="AG100" s="356"/>
      <c r="AH100" s="356"/>
      <c r="AI100" s="356"/>
      <c r="AJ100" s="356"/>
      <c r="AK100" s="269"/>
      <c r="AL100" s="269"/>
      <c r="AM100" s="269"/>
      <c r="AN100" s="269"/>
      <c r="AO100" s="269"/>
      <c r="AP100" s="58"/>
      <c r="AQ100" s="132"/>
    </row>
    <row r="101" spans="2:43" ht="12.75" hidden="1" customHeight="1" x14ac:dyDescent="0.2">
      <c r="B101" s="134" t="s">
        <v>235</v>
      </c>
      <c r="C101" s="135"/>
      <c r="D101" s="136">
        <v>8130</v>
      </c>
      <c r="E101" s="136">
        <v>8440</v>
      </c>
      <c r="F101" s="136" t="s">
        <v>232</v>
      </c>
      <c r="G101" s="133">
        <f t="shared" si="37"/>
        <v>-43936.5</v>
      </c>
      <c r="H101" s="132">
        <v>-60000</v>
      </c>
      <c r="I101" s="132">
        <v>0</v>
      </c>
      <c r="J101" s="132"/>
      <c r="K101" s="132"/>
      <c r="L101" s="133">
        <v>-40000</v>
      </c>
      <c r="M101" s="133">
        <v>-43936.5</v>
      </c>
      <c r="N101" s="133"/>
      <c r="O101" s="133">
        <v>0</v>
      </c>
      <c r="P101" s="133">
        <f t="shared" si="38"/>
        <v>0</v>
      </c>
      <c r="Q101" s="133"/>
      <c r="R101" s="137" t="e">
        <f t="shared" si="39"/>
        <v>#DIV/0!</v>
      </c>
      <c r="S101" s="290"/>
      <c r="T101" s="291"/>
      <c r="U101" s="132"/>
      <c r="V101" s="132"/>
      <c r="W101" s="138"/>
      <c r="X101" s="132"/>
      <c r="Y101" s="132"/>
      <c r="Z101" s="138"/>
      <c r="AA101" s="132"/>
      <c r="AB101" s="356"/>
      <c r="AC101" s="356"/>
      <c r="AD101" s="356"/>
      <c r="AE101" s="356"/>
      <c r="AF101" s="356"/>
      <c r="AG101" s="356"/>
      <c r="AH101" s="356"/>
      <c r="AI101" s="356"/>
      <c r="AJ101" s="356"/>
      <c r="AK101" s="269"/>
      <c r="AL101" s="269"/>
      <c r="AM101" s="269"/>
      <c r="AN101" s="269"/>
      <c r="AO101" s="269"/>
      <c r="AP101" s="58"/>
      <c r="AQ101" s="132"/>
    </row>
    <row r="102" spans="2:43" ht="12.75" hidden="1" customHeight="1" x14ac:dyDescent="0.2">
      <c r="B102" s="329" t="s">
        <v>236</v>
      </c>
      <c r="C102" s="135"/>
      <c r="D102" s="136">
        <v>8167</v>
      </c>
      <c r="E102" s="136">
        <v>8440</v>
      </c>
      <c r="F102" s="136" t="s">
        <v>232</v>
      </c>
      <c r="G102" s="133">
        <f t="shared" si="37"/>
        <v>0</v>
      </c>
      <c r="H102" s="132"/>
      <c r="I102" s="132"/>
      <c r="J102" s="132">
        <v>0</v>
      </c>
      <c r="K102" s="132">
        <v>0</v>
      </c>
      <c r="L102" s="133"/>
      <c r="M102" s="133"/>
      <c r="N102" s="133"/>
      <c r="O102" s="133">
        <v>0</v>
      </c>
      <c r="P102" s="133">
        <f t="shared" si="38"/>
        <v>0</v>
      </c>
      <c r="Q102" s="133"/>
      <c r="R102" s="137" t="e">
        <f t="shared" si="39"/>
        <v>#DIV/0!</v>
      </c>
      <c r="S102" s="136"/>
      <c r="T102" s="141"/>
      <c r="U102" s="132"/>
      <c r="V102" s="132"/>
      <c r="W102" s="138"/>
      <c r="X102" s="132"/>
      <c r="Y102" s="132"/>
      <c r="Z102" s="138"/>
      <c r="AA102" s="132"/>
      <c r="AB102" s="349"/>
      <c r="AC102" s="349"/>
      <c r="AD102" s="349"/>
      <c r="AE102" s="132"/>
      <c r="AF102" s="132"/>
      <c r="AG102" s="132"/>
      <c r="AH102" s="132"/>
      <c r="AI102" s="132"/>
      <c r="AJ102" s="132"/>
      <c r="AK102" s="133"/>
      <c r="AL102" s="133"/>
      <c r="AM102" s="133"/>
      <c r="AN102" s="133"/>
      <c r="AO102" s="133"/>
      <c r="AP102" s="58"/>
      <c r="AQ102" s="132"/>
    </row>
    <row r="103" spans="2:43" ht="12.75" customHeight="1" x14ac:dyDescent="0.2">
      <c r="B103" s="134" t="s">
        <v>237</v>
      </c>
      <c r="C103" s="135"/>
      <c r="D103" s="136">
        <v>8168</v>
      </c>
      <c r="E103" s="136">
        <v>8440</v>
      </c>
      <c r="F103" s="136" t="s">
        <v>232</v>
      </c>
      <c r="G103" s="133">
        <f t="shared" si="37"/>
        <v>-210000</v>
      </c>
      <c r="H103" s="132"/>
      <c r="I103" s="132"/>
      <c r="J103" s="132"/>
      <c r="K103" s="132"/>
      <c r="L103" s="133"/>
      <c r="M103" s="133"/>
      <c r="N103" s="133">
        <v>-10000</v>
      </c>
      <c r="O103" s="133">
        <v>0</v>
      </c>
      <c r="P103" s="133">
        <f t="shared" si="38"/>
        <v>-10000</v>
      </c>
      <c r="Q103" s="133">
        <v>0</v>
      </c>
      <c r="R103" s="137">
        <f t="shared" si="39"/>
        <v>0</v>
      </c>
      <c r="S103" s="136"/>
      <c r="T103" s="141" t="s">
        <v>173</v>
      </c>
      <c r="U103" s="132">
        <v>-200000</v>
      </c>
      <c r="V103" s="132"/>
      <c r="W103" s="143" t="s">
        <v>174</v>
      </c>
      <c r="X103" s="132"/>
      <c r="Y103" s="132"/>
      <c r="Z103" s="138"/>
      <c r="AA103" s="132"/>
      <c r="AB103" s="349"/>
      <c r="AC103" s="349"/>
      <c r="AD103" s="349"/>
      <c r="AE103" s="132"/>
      <c r="AF103" s="132"/>
      <c r="AG103" s="132"/>
      <c r="AH103" s="132"/>
      <c r="AI103" s="132"/>
      <c r="AJ103" s="132"/>
      <c r="AK103" s="133"/>
      <c r="AL103" s="133"/>
      <c r="AM103" s="133"/>
      <c r="AN103" s="133"/>
      <c r="AO103" s="133"/>
      <c r="AP103" s="58"/>
      <c r="AQ103" s="132">
        <v>-10000</v>
      </c>
    </row>
    <row r="104" spans="2:43" ht="12.75" customHeight="1" x14ac:dyDescent="0.2">
      <c r="B104" s="134" t="s">
        <v>238</v>
      </c>
      <c r="C104" s="135"/>
      <c r="D104" s="136">
        <v>8131</v>
      </c>
      <c r="E104" s="136">
        <v>8440</v>
      </c>
      <c r="F104" s="136" t="s">
        <v>232</v>
      </c>
      <c r="G104" s="133">
        <f t="shared" si="37"/>
        <v>-300000</v>
      </c>
      <c r="H104" s="132">
        <v>-5000</v>
      </c>
      <c r="I104" s="132">
        <v>0</v>
      </c>
      <c r="J104" s="132">
        <v>-10000</v>
      </c>
      <c r="K104" s="132">
        <v>0</v>
      </c>
      <c r="L104" s="133">
        <v>0</v>
      </c>
      <c r="M104" s="133">
        <v>0</v>
      </c>
      <c r="N104" s="133">
        <v>0</v>
      </c>
      <c r="O104" s="133">
        <v>0</v>
      </c>
      <c r="P104" s="133">
        <f t="shared" si="38"/>
        <v>0</v>
      </c>
      <c r="Q104" s="133"/>
      <c r="R104" s="137">
        <v>0</v>
      </c>
      <c r="S104" s="136"/>
      <c r="T104" s="141"/>
      <c r="U104" s="132">
        <v>-300000</v>
      </c>
      <c r="V104" s="132"/>
      <c r="W104" s="138"/>
      <c r="X104" s="132"/>
      <c r="Y104" s="132"/>
      <c r="Z104" s="138"/>
      <c r="AA104" s="132"/>
      <c r="AB104" s="349"/>
      <c r="AC104" s="349"/>
      <c r="AD104" s="349"/>
      <c r="AE104" s="132"/>
      <c r="AF104" s="132"/>
      <c r="AG104" s="132"/>
      <c r="AH104" s="132"/>
      <c r="AI104" s="132"/>
      <c r="AJ104" s="132"/>
      <c r="AK104" s="133"/>
      <c r="AL104" s="133"/>
      <c r="AM104" s="133"/>
      <c r="AN104" s="133"/>
      <c r="AO104" s="133"/>
      <c r="AP104" s="58"/>
      <c r="AQ104" s="132">
        <v>0</v>
      </c>
    </row>
    <row r="105" spans="2:43" ht="12.75" customHeight="1" x14ac:dyDescent="0.2">
      <c r="B105" s="134" t="s">
        <v>210</v>
      </c>
      <c r="C105" s="135"/>
      <c r="D105" s="136">
        <v>8132</v>
      </c>
      <c r="E105" s="136">
        <v>8440</v>
      </c>
      <c r="F105" s="136" t="s">
        <v>232</v>
      </c>
      <c r="G105" s="133">
        <f t="shared" si="37"/>
        <v>-700000</v>
      </c>
      <c r="H105" s="132"/>
      <c r="I105" s="132"/>
      <c r="J105" s="132"/>
      <c r="K105" s="132"/>
      <c r="L105" s="133">
        <v>-5000</v>
      </c>
      <c r="M105" s="133">
        <v>0</v>
      </c>
      <c r="N105" s="133">
        <v>-400000</v>
      </c>
      <c r="O105" s="133">
        <v>0</v>
      </c>
      <c r="P105" s="133">
        <f t="shared" si="38"/>
        <v>-400000</v>
      </c>
      <c r="Q105" s="133">
        <v>0</v>
      </c>
      <c r="R105" s="137">
        <f t="shared" si="39"/>
        <v>0</v>
      </c>
      <c r="S105" s="143" t="s">
        <v>177</v>
      </c>
      <c r="T105" s="141" t="s">
        <v>173</v>
      </c>
      <c r="U105" s="132">
        <v>-500000</v>
      </c>
      <c r="V105" s="132"/>
      <c r="W105" s="138"/>
      <c r="X105" s="132"/>
      <c r="Y105" s="132"/>
      <c r="Z105" s="138"/>
      <c r="AA105" s="132"/>
      <c r="AB105" s="349"/>
      <c r="AC105" s="349"/>
      <c r="AD105" s="349"/>
      <c r="AE105" s="132"/>
      <c r="AF105" s="132"/>
      <c r="AG105" s="132"/>
      <c r="AH105" s="132"/>
      <c r="AI105" s="132"/>
      <c r="AJ105" s="132"/>
      <c r="AK105" s="133"/>
      <c r="AL105" s="133"/>
      <c r="AM105" s="133"/>
      <c r="AN105" s="133"/>
      <c r="AO105" s="133"/>
      <c r="AP105" s="58"/>
      <c r="AQ105" s="132">
        <v>-200000</v>
      </c>
    </row>
    <row r="106" spans="2:43" ht="12.75" customHeight="1" x14ac:dyDescent="0.2">
      <c r="B106" s="134" t="s">
        <v>239</v>
      </c>
      <c r="C106" s="135"/>
      <c r="D106" s="136">
        <v>8169</v>
      </c>
      <c r="E106" s="136">
        <v>8440</v>
      </c>
      <c r="F106" s="136">
        <v>7520</v>
      </c>
      <c r="G106" s="133">
        <f t="shared" si="37"/>
        <v>-300000</v>
      </c>
      <c r="H106" s="132"/>
      <c r="I106" s="132"/>
      <c r="J106" s="132"/>
      <c r="K106" s="132"/>
      <c r="L106" s="133"/>
      <c r="M106" s="133"/>
      <c r="N106" s="133">
        <v>-100000</v>
      </c>
      <c r="O106" s="133">
        <v>0</v>
      </c>
      <c r="P106" s="133">
        <f t="shared" si="38"/>
        <v>-100000</v>
      </c>
      <c r="Q106" s="133">
        <v>-44945.34</v>
      </c>
      <c r="R106" s="137">
        <f t="shared" si="39"/>
        <v>0.44945339999999995</v>
      </c>
      <c r="S106" s="143" t="s">
        <v>216</v>
      </c>
      <c r="T106" s="141" t="s">
        <v>173</v>
      </c>
      <c r="U106" s="132">
        <v>-100000</v>
      </c>
      <c r="V106" s="132"/>
      <c r="W106" s="143" t="s">
        <v>174</v>
      </c>
      <c r="X106" s="132">
        <v>-100000</v>
      </c>
      <c r="Y106" s="132"/>
      <c r="Z106" s="138" t="s">
        <v>240</v>
      </c>
      <c r="AA106" s="139"/>
      <c r="AB106" s="349"/>
      <c r="AC106" s="349"/>
      <c r="AD106" s="349"/>
      <c r="AE106" s="132"/>
      <c r="AF106" s="132"/>
      <c r="AG106" s="132"/>
      <c r="AH106" s="132"/>
      <c r="AI106" s="132"/>
      <c r="AJ106" s="132"/>
      <c r="AK106" s="133"/>
      <c r="AL106" s="133"/>
      <c r="AM106" s="133"/>
      <c r="AN106" s="133"/>
      <c r="AO106" s="133"/>
      <c r="AP106" s="58"/>
      <c r="AQ106" s="132">
        <v>-100000</v>
      </c>
    </row>
    <row r="107" spans="2:43" ht="12.75" x14ac:dyDescent="0.2">
      <c r="B107" s="134" t="s">
        <v>241</v>
      </c>
      <c r="C107" s="135"/>
      <c r="D107" s="136">
        <v>8170</v>
      </c>
      <c r="E107" s="136">
        <v>8440</v>
      </c>
      <c r="F107" s="136">
        <v>7510</v>
      </c>
      <c r="G107" s="133">
        <f t="shared" si="37"/>
        <v>-4804</v>
      </c>
      <c r="H107" s="132"/>
      <c r="I107" s="132"/>
      <c r="J107" s="132"/>
      <c r="K107" s="132"/>
      <c r="L107" s="133"/>
      <c r="M107" s="133">
        <v>-4804</v>
      </c>
      <c r="N107" s="133">
        <v>-20000</v>
      </c>
      <c r="O107" s="133">
        <v>0</v>
      </c>
      <c r="P107" s="133">
        <f t="shared" si="38"/>
        <v>-20000</v>
      </c>
      <c r="Q107" s="133">
        <v>0</v>
      </c>
      <c r="R107" s="137">
        <f t="shared" si="39"/>
        <v>0</v>
      </c>
      <c r="S107" s="143"/>
      <c r="T107" s="141"/>
      <c r="U107" s="132"/>
      <c r="V107" s="132"/>
      <c r="W107" s="138"/>
      <c r="X107" s="139"/>
      <c r="Y107" s="132"/>
      <c r="Z107" s="138"/>
      <c r="AA107" s="139"/>
      <c r="AB107" s="349"/>
      <c r="AC107" s="349"/>
      <c r="AD107" s="349"/>
      <c r="AE107" s="132"/>
      <c r="AF107" s="132"/>
      <c r="AG107" s="132"/>
      <c r="AH107" s="132"/>
      <c r="AI107" s="132"/>
      <c r="AJ107" s="132"/>
      <c r="AK107" s="133"/>
      <c r="AL107" s="133"/>
      <c r="AM107" s="133"/>
      <c r="AN107" s="133"/>
      <c r="AO107" s="133"/>
      <c r="AP107" s="58"/>
      <c r="AQ107" s="132"/>
    </row>
    <row r="108" spans="2:43" ht="12.75" customHeight="1" x14ac:dyDescent="0.2">
      <c r="B108" s="134" t="s">
        <v>81</v>
      </c>
      <c r="C108" s="135"/>
      <c r="D108" s="136">
        <v>8105</v>
      </c>
      <c r="E108" s="136">
        <v>8440</v>
      </c>
      <c r="F108" s="136" t="s">
        <v>232</v>
      </c>
      <c r="G108" s="133">
        <f t="shared" si="37"/>
        <v>-126009.65</v>
      </c>
      <c r="H108" s="132">
        <v>-30000</v>
      </c>
      <c r="I108" s="132">
        <v>-35075</v>
      </c>
      <c r="J108" s="132">
        <v>-30000</v>
      </c>
      <c r="K108" s="132">
        <v>-30601</v>
      </c>
      <c r="L108" s="133">
        <v>-30000</v>
      </c>
      <c r="M108" s="133">
        <v>-36009.65</v>
      </c>
      <c r="N108" s="133">
        <v>-60000</v>
      </c>
      <c r="O108" s="133">
        <v>0</v>
      </c>
      <c r="P108" s="133">
        <f t="shared" si="38"/>
        <v>-60000</v>
      </c>
      <c r="Q108" s="133">
        <v>0</v>
      </c>
      <c r="R108" s="137">
        <f t="shared" si="39"/>
        <v>0</v>
      </c>
      <c r="S108" s="136"/>
      <c r="T108" s="141" t="s">
        <v>173</v>
      </c>
      <c r="U108" s="132">
        <v>-30000</v>
      </c>
      <c r="V108" s="132"/>
      <c r="W108" s="143" t="s">
        <v>174</v>
      </c>
      <c r="X108" s="132"/>
      <c r="Y108" s="132"/>
      <c r="Z108" s="138"/>
      <c r="AA108" s="132"/>
      <c r="AB108" s="349"/>
      <c r="AC108" s="349"/>
      <c r="AD108" s="349"/>
      <c r="AE108" s="132"/>
      <c r="AF108" s="132"/>
      <c r="AG108" s="132"/>
      <c r="AH108" s="132"/>
      <c r="AI108" s="132"/>
      <c r="AJ108" s="132"/>
      <c r="AK108" s="133"/>
      <c r="AL108" s="133"/>
      <c r="AM108" s="133"/>
      <c r="AN108" s="133"/>
      <c r="AO108" s="133"/>
      <c r="AP108" s="58"/>
      <c r="AQ108" s="132">
        <v>-60000</v>
      </c>
    </row>
    <row r="109" spans="2:43" ht="12.75" customHeight="1" x14ac:dyDescent="0.2">
      <c r="B109" s="134" t="s">
        <v>242</v>
      </c>
      <c r="C109" s="135"/>
      <c r="D109" s="136">
        <v>8171</v>
      </c>
      <c r="E109" s="136">
        <v>8440</v>
      </c>
      <c r="F109" s="136" t="s">
        <v>232</v>
      </c>
      <c r="G109" s="133">
        <f t="shared" si="37"/>
        <v>-72092.69</v>
      </c>
      <c r="H109" s="132"/>
      <c r="I109" s="132"/>
      <c r="J109" s="132">
        <v>-50000</v>
      </c>
      <c r="K109" s="132">
        <v>-66974.759999999995</v>
      </c>
      <c r="L109" s="133">
        <v>-35000</v>
      </c>
      <c r="M109" s="133">
        <v>-42092.69</v>
      </c>
      <c r="N109" s="133">
        <v>-30000</v>
      </c>
      <c r="O109" s="133">
        <v>0</v>
      </c>
      <c r="P109" s="133">
        <f t="shared" si="38"/>
        <v>-30000</v>
      </c>
      <c r="Q109" s="133">
        <v>0</v>
      </c>
      <c r="R109" s="137">
        <f t="shared" si="39"/>
        <v>0</v>
      </c>
      <c r="S109" s="136"/>
      <c r="T109" s="141" t="s">
        <v>173</v>
      </c>
      <c r="U109" s="132"/>
      <c r="V109" s="132"/>
      <c r="W109" s="138"/>
      <c r="X109" s="132"/>
      <c r="Y109" s="132"/>
      <c r="Z109" s="138"/>
      <c r="AA109" s="132"/>
      <c r="AB109" s="349"/>
      <c r="AC109" s="349"/>
      <c r="AD109" s="349"/>
      <c r="AE109" s="132"/>
      <c r="AF109" s="132"/>
      <c r="AG109" s="132"/>
      <c r="AH109" s="132"/>
      <c r="AI109" s="132"/>
      <c r="AJ109" s="132"/>
      <c r="AK109" s="133"/>
      <c r="AL109" s="133"/>
      <c r="AM109" s="133"/>
      <c r="AN109" s="133"/>
      <c r="AO109" s="133"/>
      <c r="AP109" s="58"/>
      <c r="AQ109" s="132">
        <v>-30000</v>
      </c>
    </row>
    <row r="110" spans="2:43" ht="12.75" customHeight="1" x14ac:dyDescent="0.2">
      <c r="B110" s="134" t="s">
        <v>243</v>
      </c>
      <c r="C110" s="135"/>
      <c r="D110" s="136">
        <v>8118</v>
      </c>
      <c r="E110" s="136">
        <v>8440</v>
      </c>
      <c r="F110" s="136">
        <v>7520</v>
      </c>
      <c r="G110" s="133">
        <f t="shared" si="37"/>
        <v>-306686.29000000004</v>
      </c>
      <c r="H110" s="132"/>
      <c r="I110" s="132"/>
      <c r="J110" s="132">
        <v>-253455</v>
      </c>
      <c r="K110" s="132">
        <v>-239137</v>
      </c>
      <c r="L110" s="133">
        <v>-73200</v>
      </c>
      <c r="M110" s="133">
        <v>-57586.29</v>
      </c>
      <c r="N110" s="133">
        <v>-73200</v>
      </c>
      <c r="O110" s="133">
        <v>0</v>
      </c>
      <c r="P110" s="133">
        <f t="shared" si="38"/>
        <v>-73200</v>
      </c>
      <c r="Q110" s="133">
        <v>0</v>
      </c>
      <c r="R110" s="137">
        <f t="shared" si="39"/>
        <v>0</v>
      </c>
      <c r="S110" s="290" t="s">
        <v>244</v>
      </c>
      <c r="T110" s="141" t="s">
        <v>192</v>
      </c>
      <c r="U110" s="132">
        <v>-61000</v>
      </c>
      <c r="V110" s="132"/>
      <c r="W110" s="143" t="s">
        <v>174</v>
      </c>
      <c r="X110" s="132">
        <v>-67100</v>
      </c>
      <c r="Y110" s="132"/>
      <c r="Z110" s="138" t="s">
        <v>240</v>
      </c>
      <c r="AA110" s="132">
        <v>-61000</v>
      </c>
      <c r="AB110" s="356"/>
      <c r="AC110" s="356"/>
      <c r="AD110" s="356">
        <v>-45750</v>
      </c>
      <c r="AE110" s="269">
        <v>-30500</v>
      </c>
      <c r="AF110" s="356"/>
      <c r="AG110" s="356"/>
      <c r="AH110" s="356"/>
      <c r="AI110" s="356"/>
      <c r="AJ110" s="356">
        <v>-45750</v>
      </c>
      <c r="AK110" s="269">
        <v>-30500</v>
      </c>
      <c r="AL110" s="269"/>
      <c r="AM110" s="269"/>
      <c r="AN110" s="269"/>
      <c r="AO110" s="269"/>
      <c r="AP110" s="58"/>
      <c r="AQ110" s="132">
        <v>-60000</v>
      </c>
    </row>
    <row r="111" spans="2:43" ht="12.75" hidden="1" customHeight="1" x14ac:dyDescent="0.2">
      <c r="B111" s="134" t="s">
        <v>245</v>
      </c>
      <c r="C111" s="135"/>
      <c r="D111" s="136"/>
      <c r="E111" s="136"/>
      <c r="F111" s="136" t="s">
        <v>232</v>
      </c>
      <c r="G111" s="133">
        <f t="shared" si="37"/>
        <v>0</v>
      </c>
      <c r="H111" s="132">
        <v>-20000</v>
      </c>
      <c r="I111" s="132">
        <v>-4236</v>
      </c>
      <c r="J111" s="132"/>
      <c r="K111" s="132"/>
      <c r="L111" s="132"/>
      <c r="M111" s="133"/>
      <c r="N111" s="133"/>
      <c r="O111" s="133"/>
      <c r="P111" s="133">
        <f t="shared" si="38"/>
        <v>0</v>
      </c>
      <c r="Q111" s="133"/>
      <c r="R111" s="137" t="e">
        <f t="shared" si="39"/>
        <v>#DIV/0!</v>
      </c>
      <c r="S111" s="136"/>
      <c r="T111" s="141"/>
      <c r="U111" s="132"/>
      <c r="V111" s="132"/>
      <c r="W111" s="138"/>
      <c r="X111" s="132"/>
      <c r="Y111" s="132"/>
      <c r="Z111" s="138"/>
      <c r="AA111" s="132"/>
      <c r="AB111" s="349"/>
      <c r="AC111" s="349"/>
      <c r="AD111" s="349"/>
      <c r="AE111" s="132"/>
      <c r="AF111" s="132"/>
      <c r="AG111" s="132"/>
      <c r="AH111" s="132"/>
      <c r="AI111" s="132"/>
      <c r="AJ111" s="132"/>
      <c r="AK111" s="133"/>
      <c r="AL111" s="133"/>
      <c r="AM111" s="133"/>
      <c r="AN111" s="133"/>
      <c r="AO111" s="133"/>
      <c r="AP111" s="58"/>
      <c r="AQ111" s="132"/>
    </row>
    <row r="112" spans="2:43" ht="12.75" hidden="1" customHeight="1" x14ac:dyDescent="0.2">
      <c r="B112" s="134" t="s">
        <v>246</v>
      </c>
      <c r="C112" s="135"/>
      <c r="D112" s="136">
        <v>8116</v>
      </c>
      <c r="E112" s="136">
        <v>8440</v>
      </c>
      <c r="F112" s="136" t="s">
        <v>232</v>
      </c>
      <c r="G112" s="133">
        <f t="shared" si="37"/>
        <v>0</v>
      </c>
      <c r="H112" s="132">
        <v>0</v>
      </c>
      <c r="I112" s="132">
        <v>-1361</v>
      </c>
      <c r="J112" s="132"/>
      <c r="K112" s="132">
        <v>-54558</v>
      </c>
      <c r="L112" s="132"/>
      <c r="M112" s="133"/>
      <c r="N112" s="133"/>
      <c r="O112" s="133"/>
      <c r="P112" s="133">
        <f t="shared" si="38"/>
        <v>0</v>
      </c>
      <c r="Q112" s="133"/>
      <c r="R112" s="137" t="e">
        <f t="shared" si="39"/>
        <v>#DIV/0!</v>
      </c>
      <c r="S112" s="290"/>
      <c r="T112" s="291"/>
      <c r="U112" s="132"/>
      <c r="V112" s="132"/>
      <c r="W112" s="138"/>
      <c r="X112" s="132"/>
      <c r="Y112" s="132"/>
      <c r="Z112" s="138"/>
      <c r="AA112" s="132"/>
      <c r="AB112" s="356"/>
      <c r="AC112" s="356"/>
      <c r="AD112" s="356"/>
      <c r="AE112" s="356"/>
      <c r="AF112" s="356"/>
      <c r="AG112" s="356"/>
      <c r="AH112" s="356"/>
      <c r="AI112" s="356"/>
      <c r="AJ112" s="356"/>
      <c r="AK112" s="269"/>
      <c r="AL112" s="269"/>
      <c r="AM112" s="269"/>
      <c r="AN112" s="269"/>
      <c r="AO112" s="269"/>
      <c r="AP112" s="58"/>
      <c r="AQ112" s="132"/>
    </row>
    <row r="113" spans="1:72" ht="12.75" hidden="1" customHeight="1" x14ac:dyDescent="0.2">
      <c r="B113" s="134" t="s">
        <v>94</v>
      </c>
      <c r="C113" s="135"/>
      <c r="D113" s="136">
        <v>8113</v>
      </c>
      <c r="E113" s="136">
        <v>8440</v>
      </c>
      <c r="F113" s="136">
        <v>7510</v>
      </c>
      <c r="G113" s="133">
        <f t="shared" si="37"/>
        <v>0</v>
      </c>
      <c r="H113" s="132">
        <v>-30000</v>
      </c>
      <c r="I113" s="132">
        <v>-2369</v>
      </c>
      <c r="J113" s="132">
        <v>-30000</v>
      </c>
      <c r="K113" s="132">
        <v>-10449</v>
      </c>
      <c r="L113" s="132">
        <v>-20000</v>
      </c>
      <c r="M113" s="133">
        <v>0</v>
      </c>
      <c r="N113" s="133"/>
      <c r="O113" s="133"/>
      <c r="P113" s="133">
        <f t="shared" si="38"/>
        <v>0</v>
      </c>
      <c r="Q113" s="133"/>
      <c r="R113" s="137" t="e">
        <f t="shared" si="39"/>
        <v>#DIV/0!</v>
      </c>
      <c r="S113" s="136"/>
      <c r="T113" s="141"/>
      <c r="U113" s="132"/>
      <c r="V113" s="132"/>
      <c r="W113" s="138"/>
      <c r="X113" s="132"/>
      <c r="Y113" s="132"/>
      <c r="Z113" s="138"/>
      <c r="AA113" s="132"/>
      <c r="AB113" s="356"/>
      <c r="AC113" s="356"/>
      <c r="AD113" s="356"/>
      <c r="AE113" s="106"/>
      <c r="AF113" s="106"/>
      <c r="AG113" s="106"/>
      <c r="AH113" s="106"/>
      <c r="AI113" s="106"/>
      <c r="AJ113" s="106"/>
      <c r="AK113" s="133"/>
      <c r="AL113" s="133"/>
      <c r="AM113" s="133"/>
      <c r="AN113" s="133"/>
      <c r="AO113" s="133"/>
      <c r="AP113" s="58"/>
      <c r="AQ113" s="132"/>
    </row>
    <row r="114" spans="1:72" ht="12.75" hidden="1" customHeight="1" x14ac:dyDescent="0.2">
      <c r="B114" s="134" t="s">
        <v>49</v>
      </c>
      <c r="C114" s="135"/>
      <c r="D114" s="136">
        <v>8138</v>
      </c>
      <c r="E114" s="136">
        <v>8440</v>
      </c>
      <c r="F114" s="136">
        <v>7510</v>
      </c>
      <c r="G114" s="133">
        <f t="shared" si="37"/>
        <v>0</v>
      </c>
      <c r="H114" s="132">
        <v>-40000</v>
      </c>
      <c r="I114" s="132">
        <v>-35678</v>
      </c>
      <c r="J114" s="132">
        <v>-20000</v>
      </c>
      <c r="K114" s="132">
        <v>-16820</v>
      </c>
      <c r="L114" s="132"/>
      <c r="M114" s="133"/>
      <c r="N114" s="133"/>
      <c r="O114" s="133"/>
      <c r="P114" s="133">
        <f t="shared" si="38"/>
        <v>0</v>
      </c>
      <c r="Q114" s="133"/>
      <c r="R114" s="137" t="e">
        <f t="shared" si="39"/>
        <v>#DIV/0!</v>
      </c>
      <c r="S114" s="136"/>
      <c r="T114" s="141"/>
      <c r="U114" s="132"/>
      <c r="V114" s="132"/>
      <c r="W114" s="138"/>
      <c r="X114" s="132"/>
      <c r="Y114" s="132"/>
      <c r="Z114" s="138"/>
      <c r="AA114" s="132"/>
      <c r="AB114" s="349"/>
      <c r="AC114" s="349"/>
      <c r="AD114" s="349"/>
      <c r="AE114" s="132"/>
      <c r="AF114" s="132"/>
      <c r="AG114" s="132"/>
      <c r="AH114" s="132"/>
      <c r="AI114" s="132"/>
      <c r="AJ114" s="132"/>
      <c r="AK114" s="133"/>
      <c r="AL114" s="133"/>
      <c r="AM114" s="133"/>
      <c r="AN114" s="133"/>
      <c r="AO114" s="133"/>
      <c r="AP114" s="58"/>
      <c r="AQ114" s="132"/>
    </row>
    <row r="115" spans="1:72" ht="12.75" hidden="1" customHeight="1" x14ac:dyDescent="0.2">
      <c r="B115" s="134" t="s">
        <v>52</v>
      </c>
      <c r="C115" s="135"/>
      <c r="D115" s="136">
        <v>8140</v>
      </c>
      <c r="E115" s="136">
        <v>8440</v>
      </c>
      <c r="F115" s="136">
        <v>7510</v>
      </c>
      <c r="G115" s="133">
        <f t="shared" si="37"/>
        <v>0</v>
      </c>
      <c r="H115" s="132">
        <v>-60000</v>
      </c>
      <c r="I115" s="132">
        <v>-55228</v>
      </c>
      <c r="J115" s="132">
        <v>-30000</v>
      </c>
      <c r="K115" s="132">
        <v>-10495</v>
      </c>
      <c r="L115" s="132"/>
      <c r="M115" s="133"/>
      <c r="N115" s="133"/>
      <c r="O115" s="133"/>
      <c r="P115" s="133">
        <f t="shared" si="38"/>
        <v>0</v>
      </c>
      <c r="Q115" s="133"/>
      <c r="R115" s="137" t="e">
        <f t="shared" si="39"/>
        <v>#DIV/0!</v>
      </c>
      <c r="S115" s="136"/>
      <c r="T115" s="141"/>
      <c r="U115" s="132"/>
      <c r="V115" s="132"/>
      <c r="W115" s="138"/>
      <c r="X115" s="132"/>
      <c r="Y115" s="132"/>
      <c r="Z115" s="138"/>
      <c r="AA115" s="132"/>
      <c r="AB115" s="349"/>
      <c r="AC115" s="349"/>
      <c r="AD115" s="349"/>
      <c r="AE115" s="132"/>
      <c r="AF115" s="132"/>
      <c r="AG115" s="132"/>
      <c r="AH115" s="132"/>
      <c r="AI115" s="132"/>
      <c r="AJ115" s="132"/>
      <c r="AK115" s="133"/>
      <c r="AL115" s="133"/>
      <c r="AM115" s="133"/>
      <c r="AN115" s="133"/>
      <c r="AO115" s="133"/>
      <c r="AP115" s="58"/>
      <c r="AQ115" s="132"/>
    </row>
    <row r="116" spans="1:72" ht="12.75" hidden="1" customHeight="1" x14ac:dyDescent="0.2">
      <c r="B116" s="134" t="s">
        <v>62</v>
      </c>
      <c r="C116" s="135"/>
      <c r="D116" s="136">
        <v>8172</v>
      </c>
      <c r="E116" s="136">
        <v>8440</v>
      </c>
      <c r="F116" s="136" t="s">
        <v>232</v>
      </c>
      <c r="G116" s="133">
        <f t="shared" si="37"/>
        <v>0</v>
      </c>
      <c r="H116" s="132">
        <v>-60000</v>
      </c>
      <c r="I116" s="132">
        <v>-5000</v>
      </c>
      <c r="J116" s="132">
        <v>0</v>
      </c>
      <c r="K116" s="132">
        <v>0</v>
      </c>
      <c r="L116" s="132"/>
      <c r="M116" s="133"/>
      <c r="N116" s="133"/>
      <c r="O116" s="133"/>
      <c r="P116" s="133">
        <f t="shared" si="38"/>
        <v>0</v>
      </c>
      <c r="Q116" s="133"/>
      <c r="R116" s="137" t="e">
        <f t="shared" si="39"/>
        <v>#DIV/0!</v>
      </c>
      <c r="S116" s="100"/>
      <c r="T116" s="119"/>
      <c r="U116" s="132"/>
      <c r="V116" s="132"/>
      <c r="W116" s="138"/>
      <c r="X116" s="132"/>
      <c r="Y116" s="132"/>
      <c r="Z116" s="138"/>
      <c r="AA116" s="132"/>
      <c r="AB116" s="349"/>
      <c r="AC116" s="349"/>
      <c r="AD116" s="349"/>
      <c r="AE116" s="132"/>
      <c r="AF116" s="132"/>
      <c r="AG116" s="132"/>
      <c r="AH116" s="132"/>
      <c r="AI116" s="132"/>
      <c r="AJ116" s="132"/>
      <c r="AK116" s="80"/>
      <c r="AL116" s="357"/>
      <c r="AM116" s="133"/>
      <c r="AN116" s="133"/>
      <c r="AO116" s="133"/>
      <c r="AP116" s="58"/>
      <c r="AQ116" s="132"/>
    </row>
    <row r="117" spans="1:72" ht="12.75" customHeight="1" x14ac:dyDescent="0.2">
      <c r="B117" s="134" t="s">
        <v>247</v>
      </c>
      <c r="C117" s="135" t="s">
        <v>55</v>
      </c>
      <c r="D117" s="136">
        <v>8107</v>
      </c>
      <c r="E117" s="136">
        <v>8440</v>
      </c>
      <c r="F117" s="136" t="s">
        <v>232</v>
      </c>
      <c r="G117" s="133">
        <f t="shared" si="37"/>
        <v>-221394</v>
      </c>
      <c r="H117" s="133">
        <v>-100000</v>
      </c>
      <c r="I117" s="133">
        <v>-106050</v>
      </c>
      <c r="J117" s="133">
        <v>-200000</v>
      </c>
      <c r="K117" s="133">
        <v>-47614</v>
      </c>
      <c r="L117" s="133">
        <v>-200000</v>
      </c>
      <c r="M117" s="297">
        <v>-151394</v>
      </c>
      <c r="N117" s="297">
        <v>-60000</v>
      </c>
      <c r="O117" s="297">
        <v>0</v>
      </c>
      <c r="P117" s="297">
        <f t="shared" si="38"/>
        <v>-60000</v>
      </c>
      <c r="Q117" s="297">
        <v>-71472</v>
      </c>
      <c r="R117" s="137">
        <f t="shared" si="39"/>
        <v>1.1912</v>
      </c>
      <c r="S117" s="140">
        <v>44446</v>
      </c>
      <c r="T117" s="144" t="s">
        <v>211</v>
      </c>
      <c r="U117" s="297"/>
      <c r="V117" s="297"/>
      <c r="W117" s="346"/>
      <c r="X117" s="297"/>
      <c r="Y117" s="297"/>
      <c r="Z117" s="346"/>
      <c r="AA117" s="133"/>
      <c r="AB117" s="269"/>
      <c r="AC117" s="269"/>
      <c r="AD117" s="269"/>
      <c r="AE117" s="133"/>
      <c r="AF117" s="133"/>
      <c r="AG117" s="133"/>
      <c r="AH117" s="133"/>
      <c r="AI117" s="133"/>
      <c r="AJ117" s="133"/>
      <c r="AK117" s="297"/>
      <c r="AL117" s="297"/>
      <c r="AM117" s="297"/>
      <c r="AN117" s="297"/>
      <c r="AO117" s="297"/>
      <c r="AP117" s="58"/>
      <c r="AQ117" s="133">
        <v>-70000</v>
      </c>
    </row>
    <row r="118" spans="1:72" ht="12.75" customHeight="1" x14ac:dyDescent="0.2">
      <c r="B118" s="293" t="s">
        <v>248</v>
      </c>
      <c r="C118" s="314"/>
      <c r="D118" s="315">
        <v>8176</v>
      </c>
      <c r="E118" s="315">
        <v>8440</v>
      </c>
      <c r="F118" s="136" t="s">
        <v>232</v>
      </c>
      <c r="G118" s="133">
        <f t="shared" si="37"/>
        <v>-660000</v>
      </c>
      <c r="H118" s="132"/>
      <c r="I118" s="132"/>
      <c r="J118" s="132"/>
      <c r="K118" s="132"/>
      <c r="L118" s="132"/>
      <c r="M118" s="133"/>
      <c r="N118" s="133">
        <v>0</v>
      </c>
      <c r="O118" s="289">
        <v>-60000</v>
      </c>
      <c r="P118" s="289">
        <f t="shared" si="38"/>
        <v>-60000</v>
      </c>
      <c r="Q118" s="133">
        <v>0</v>
      </c>
      <c r="R118" s="137">
        <v>0</v>
      </c>
      <c r="S118" s="143" t="s">
        <v>218</v>
      </c>
      <c r="T118" s="141" t="s">
        <v>173</v>
      </c>
      <c r="U118" s="132"/>
      <c r="V118" s="132"/>
      <c r="W118" s="138"/>
      <c r="X118" s="132">
        <v>-600000</v>
      </c>
      <c r="Y118" s="132"/>
      <c r="Z118" s="138"/>
      <c r="AA118" s="132"/>
      <c r="AB118" s="349"/>
      <c r="AC118" s="349"/>
      <c r="AD118" s="349"/>
      <c r="AE118" s="132"/>
      <c r="AF118" s="132"/>
      <c r="AG118" s="132"/>
      <c r="AH118" s="132"/>
      <c r="AI118" s="132"/>
      <c r="AJ118" s="132"/>
      <c r="AK118" s="132"/>
      <c r="AL118" s="132"/>
      <c r="AM118" s="132"/>
      <c r="AN118" s="132"/>
      <c r="AO118" s="132"/>
      <c r="AP118" s="82"/>
      <c r="AQ118" s="132">
        <v>-60000</v>
      </c>
    </row>
    <row r="119" spans="1:72" ht="12.75" customHeight="1" x14ac:dyDescent="0.2">
      <c r="B119" s="343"/>
      <c r="C119" s="352"/>
      <c r="D119" s="353"/>
      <c r="E119" s="353"/>
      <c r="F119" s="345"/>
      <c r="G119" s="307"/>
      <c r="H119" s="139"/>
      <c r="I119" s="139"/>
      <c r="J119" s="139"/>
      <c r="K119" s="139"/>
      <c r="L119" s="139"/>
      <c r="M119" s="307"/>
      <c r="N119" s="133"/>
      <c r="O119" s="133"/>
      <c r="P119" s="133"/>
      <c r="Q119" s="133"/>
      <c r="R119" s="137"/>
      <c r="S119" s="143"/>
      <c r="T119" s="141"/>
      <c r="U119" s="139"/>
      <c r="V119" s="139"/>
      <c r="W119" s="304"/>
      <c r="X119" s="139"/>
      <c r="Y119" s="139"/>
      <c r="Z119" s="304"/>
      <c r="AA119" s="139"/>
      <c r="AB119" s="308"/>
      <c r="AC119" s="308"/>
      <c r="AD119" s="349"/>
      <c r="AE119" s="132"/>
      <c r="AF119" s="132"/>
      <c r="AG119" s="132"/>
      <c r="AH119" s="132"/>
      <c r="AI119" s="132"/>
      <c r="AJ119" s="132"/>
      <c r="AK119" s="132"/>
      <c r="AL119" s="132"/>
      <c r="AM119" s="132"/>
      <c r="AN119" s="132"/>
      <c r="AO119" s="132"/>
      <c r="AP119" s="82"/>
      <c r="AQ119" s="132"/>
    </row>
    <row r="120" spans="1:72" ht="12.75" customHeight="1" x14ac:dyDescent="0.2">
      <c r="B120" s="343"/>
      <c r="C120" s="352"/>
      <c r="D120" s="353"/>
      <c r="E120" s="353"/>
      <c r="F120" s="345"/>
      <c r="G120" s="307"/>
      <c r="H120" s="139"/>
      <c r="I120" s="139"/>
      <c r="J120" s="139"/>
      <c r="K120" s="139"/>
      <c r="L120" s="139"/>
      <c r="M120" s="307"/>
      <c r="N120" s="133"/>
      <c r="O120" s="133"/>
      <c r="P120" s="133"/>
      <c r="Q120" s="133"/>
      <c r="R120" s="137"/>
      <c r="S120" s="143"/>
      <c r="T120" s="141"/>
      <c r="U120" s="139"/>
      <c r="V120" s="139"/>
      <c r="W120" s="304"/>
      <c r="X120" s="139"/>
      <c r="Y120" s="139"/>
      <c r="Z120" s="304"/>
      <c r="AA120" s="139"/>
      <c r="AB120" s="308"/>
      <c r="AC120" s="308"/>
      <c r="AD120" s="349"/>
      <c r="AE120" s="132"/>
      <c r="AF120" s="132"/>
      <c r="AG120" s="132"/>
      <c r="AH120" s="132"/>
      <c r="AI120" s="132"/>
      <c r="AJ120" s="132"/>
      <c r="AK120" s="132"/>
      <c r="AL120" s="132"/>
      <c r="AM120" s="132"/>
      <c r="AN120" s="132"/>
      <c r="AO120" s="132"/>
      <c r="AP120" s="82"/>
      <c r="AQ120" s="132"/>
    </row>
    <row r="121" spans="1:72" s="57" customFormat="1" ht="12.75" customHeight="1" x14ac:dyDescent="0.2">
      <c r="A121" s="7"/>
      <c r="B121" s="263" t="s">
        <v>249</v>
      </c>
      <c r="C121" s="263"/>
      <c r="D121" s="264"/>
      <c r="E121" s="264"/>
      <c r="F121" s="264"/>
      <c r="G121" s="271">
        <f>SUM(G95,G96,G97,G98,G99,G103,G104,G105,G106,G107,G108,G109,G110,G117,G118,G119,G120)</f>
        <v>-3209799.15</v>
      </c>
      <c r="H121" s="271">
        <f t="shared" ref="H121:M121" si="40">SUM(H95,H96,H97,H98,H99,H103,H104,H105,H106,H107,H108,H109,H110,H117,H118,H119,H120)</f>
        <v>-255000</v>
      </c>
      <c r="I121" s="271">
        <f t="shared" si="40"/>
        <v>-163591</v>
      </c>
      <c r="J121" s="271">
        <f t="shared" si="40"/>
        <v>-583455</v>
      </c>
      <c r="K121" s="271">
        <f t="shared" si="40"/>
        <v>-404637.76</v>
      </c>
      <c r="L121" s="271">
        <f t="shared" si="40"/>
        <v>-363200</v>
      </c>
      <c r="M121" s="271">
        <f t="shared" si="40"/>
        <v>-310699.15000000002</v>
      </c>
      <c r="N121" s="271">
        <f>SUM(N95:N120)</f>
        <v>-1013200</v>
      </c>
      <c r="O121" s="271">
        <f>SUM(O95:O120)</f>
        <v>140000</v>
      </c>
      <c r="P121" s="271">
        <f>SUM(P95:P120)</f>
        <v>-873200</v>
      </c>
      <c r="Q121" s="271">
        <f>SUM(Q95:Q120)</f>
        <v>-138480.74</v>
      </c>
      <c r="R121" s="272">
        <f t="shared" si="39"/>
        <v>0.15858994502977553</v>
      </c>
      <c r="S121" s="316"/>
      <c r="T121" s="316"/>
      <c r="U121" s="271">
        <f>SUM(U95:U120)</f>
        <v>-1411000</v>
      </c>
      <c r="V121" s="271"/>
      <c r="W121" s="271"/>
      <c r="X121" s="271">
        <f>SUM(X95:X120)</f>
        <v>-777100</v>
      </c>
      <c r="Y121" s="271"/>
      <c r="Z121" s="266"/>
      <c r="AA121" s="271">
        <f>SUM(AA95:AA120)</f>
        <v>-61000</v>
      </c>
      <c r="AB121" s="273"/>
      <c r="AC121" s="273"/>
      <c r="AD121" s="273">
        <f t="shared" ref="AD121:AO121" si="41">SUM(AD95:AD117)</f>
        <v>-45750</v>
      </c>
      <c r="AE121" s="271">
        <f t="shared" si="41"/>
        <v>-30500</v>
      </c>
      <c r="AF121" s="271">
        <f t="shared" si="41"/>
        <v>0</v>
      </c>
      <c r="AG121" s="271">
        <f t="shared" si="41"/>
        <v>0</v>
      </c>
      <c r="AH121" s="271">
        <f t="shared" si="41"/>
        <v>0</v>
      </c>
      <c r="AI121" s="271">
        <f t="shared" si="41"/>
        <v>0</v>
      </c>
      <c r="AJ121" s="271">
        <f t="shared" si="41"/>
        <v>-45750</v>
      </c>
      <c r="AK121" s="271">
        <f t="shared" si="41"/>
        <v>-30500</v>
      </c>
      <c r="AL121" s="271">
        <f t="shared" si="41"/>
        <v>0</v>
      </c>
      <c r="AM121" s="271">
        <f t="shared" si="41"/>
        <v>0</v>
      </c>
      <c r="AN121" s="271">
        <f t="shared" si="41"/>
        <v>0</v>
      </c>
      <c r="AO121" s="271">
        <f t="shared" si="41"/>
        <v>0</v>
      </c>
      <c r="AP121" s="59"/>
      <c r="AQ121" s="271">
        <f>SUM(AQ95:AQ120)</f>
        <v>-650000</v>
      </c>
      <c r="AR121" s="1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</row>
    <row r="122" spans="1:72" s="58" customFormat="1" ht="12.75" customHeight="1" x14ac:dyDescent="0.2">
      <c r="B122" s="268"/>
      <c r="C122" s="187"/>
      <c r="D122" s="331"/>
      <c r="E122" s="331"/>
      <c r="F122" s="331"/>
      <c r="G122" s="268"/>
      <c r="H122" s="268"/>
      <c r="I122" s="268"/>
      <c r="J122" s="268"/>
      <c r="K122" s="268"/>
      <c r="L122" s="268"/>
      <c r="M122" s="268"/>
      <c r="N122" s="268"/>
      <c r="O122" s="268"/>
      <c r="P122" s="268"/>
      <c r="Q122" s="268"/>
      <c r="R122" s="268"/>
      <c r="S122" s="323"/>
      <c r="T122" s="323"/>
      <c r="U122" s="268"/>
      <c r="V122" s="268"/>
      <c r="W122" s="346"/>
      <c r="X122" s="268"/>
      <c r="Y122" s="268"/>
      <c r="Z122" s="346"/>
      <c r="AA122" s="268"/>
      <c r="AQ122" s="268"/>
      <c r="AR122" s="1"/>
    </row>
    <row r="123" spans="1:72" s="58" customFormat="1" ht="12.75" customHeight="1" x14ac:dyDescent="0.2">
      <c r="B123" s="268"/>
      <c r="C123" s="187"/>
      <c r="D123" s="331"/>
      <c r="E123" s="331"/>
      <c r="F123" s="331"/>
      <c r="G123" s="268"/>
      <c r="H123" s="268"/>
      <c r="I123" s="268"/>
      <c r="J123" s="268"/>
      <c r="K123" s="268"/>
      <c r="L123" s="268"/>
      <c r="M123" s="268"/>
      <c r="N123" s="268"/>
      <c r="O123" s="268"/>
      <c r="P123" s="268"/>
      <c r="Q123" s="268"/>
      <c r="R123" s="268"/>
      <c r="S123" s="323"/>
      <c r="T123" s="323"/>
      <c r="U123" s="268"/>
      <c r="V123" s="268"/>
      <c r="W123" s="346"/>
      <c r="X123" s="268"/>
      <c r="Y123" s="268"/>
      <c r="Z123" s="346"/>
      <c r="AA123" s="268"/>
      <c r="AQ123" s="268"/>
      <c r="AR123" s="1"/>
    </row>
    <row r="124" spans="1:72" s="58" customFormat="1" ht="12.75" customHeight="1" x14ac:dyDescent="0.2">
      <c r="B124" s="268"/>
      <c r="C124" s="187"/>
      <c r="D124" s="331"/>
      <c r="E124" s="331"/>
      <c r="F124" s="331"/>
      <c r="G124" s="268"/>
      <c r="H124" s="268"/>
      <c r="I124" s="268"/>
      <c r="J124" s="268"/>
      <c r="K124" s="268"/>
      <c r="L124" s="268"/>
      <c r="M124" s="268"/>
      <c r="N124" s="268"/>
      <c r="O124" s="268"/>
      <c r="P124" s="268"/>
      <c r="Q124" s="268"/>
      <c r="R124" s="268"/>
      <c r="S124" s="323"/>
      <c r="T124" s="323"/>
      <c r="U124" s="268"/>
      <c r="V124" s="268"/>
      <c r="W124" s="346"/>
      <c r="X124" s="268"/>
      <c r="Y124" s="268"/>
      <c r="Z124" s="346"/>
      <c r="AA124" s="268"/>
      <c r="AQ124" s="268"/>
      <c r="AR124" s="1"/>
    </row>
    <row r="125" spans="1:72" s="57" customFormat="1" ht="12.75" customHeight="1" x14ac:dyDescent="0.2">
      <c r="A125" s="7"/>
      <c r="B125" s="358" t="s">
        <v>118</v>
      </c>
      <c r="C125" s="359"/>
      <c r="D125" s="360"/>
      <c r="E125" s="360"/>
      <c r="F125" s="360"/>
      <c r="G125" s="361">
        <f t="shared" ref="G125:Q125" si="42">G121+G91+G71</f>
        <v>-8708368.4299999997</v>
      </c>
      <c r="H125" s="361">
        <f t="shared" si="42"/>
        <v>-530000</v>
      </c>
      <c r="I125" s="361">
        <f t="shared" si="42"/>
        <v>-285116</v>
      </c>
      <c r="J125" s="361">
        <f t="shared" si="42"/>
        <v>-1073455</v>
      </c>
      <c r="K125" s="361">
        <f t="shared" si="42"/>
        <v>-642042.76</v>
      </c>
      <c r="L125" s="361">
        <f t="shared" si="42"/>
        <v>-683200</v>
      </c>
      <c r="M125" s="361">
        <f t="shared" si="42"/>
        <v>-487218.43000000005</v>
      </c>
      <c r="N125" s="361">
        <f t="shared" si="42"/>
        <v>-2973200</v>
      </c>
      <c r="O125" s="361">
        <f t="shared" si="42"/>
        <v>487950</v>
      </c>
      <c r="P125" s="361">
        <f t="shared" si="42"/>
        <v>-2485250</v>
      </c>
      <c r="Q125" s="361">
        <f t="shared" si="42"/>
        <v>-375392.61</v>
      </c>
      <c r="R125" s="362">
        <f t="shared" ref="R125" si="43">Q125/P125</f>
        <v>0.15104822854843578</v>
      </c>
      <c r="S125" s="363"/>
      <c r="T125" s="332"/>
      <c r="U125" s="361">
        <f>U121+U91+U71</f>
        <v>-3721000</v>
      </c>
      <c r="V125" s="361"/>
      <c r="W125" s="364"/>
      <c r="X125" s="361">
        <f>X121+X91+X71</f>
        <v>-2117100</v>
      </c>
      <c r="Y125" s="361"/>
      <c r="Z125" s="364"/>
      <c r="AA125" s="361">
        <f>AA121+AA91+AA71</f>
        <v>-411000</v>
      </c>
      <c r="AB125" s="365"/>
      <c r="AC125" s="365"/>
      <c r="AD125" s="365">
        <f t="shared" ref="AD125:AO125" si="44">AD121+AD91+AD71</f>
        <v>-45750</v>
      </c>
      <c r="AE125" s="361">
        <f t="shared" si="44"/>
        <v>-30500</v>
      </c>
      <c r="AF125" s="361">
        <f t="shared" si="44"/>
        <v>0</v>
      </c>
      <c r="AG125" s="361">
        <f t="shared" si="44"/>
        <v>0</v>
      </c>
      <c r="AH125" s="361">
        <f t="shared" si="44"/>
        <v>0</v>
      </c>
      <c r="AI125" s="361">
        <f t="shared" si="44"/>
        <v>0</v>
      </c>
      <c r="AJ125" s="361">
        <f t="shared" si="44"/>
        <v>-102357.15</v>
      </c>
      <c r="AK125" s="361">
        <f t="shared" si="44"/>
        <v>-356116.07750000001</v>
      </c>
      <c r="AL125" s="361">
        <f t="shared" si="44"/>
        <v>-614273.66587499995</v>
      </c>
      <c r="AM125" s="361">
        <f t="shared" si="44"/>
        <v>0</v>
      </c>
      <c r="AN125" s="361">
        <f t="shared" si="44"/>
        <v>0</v>
      </c>
      <c r="AO125" s="361">
        <f t="shared" si="44"/>
        <v>0</v>
      </c>
      <c r="AP125" s="58"/>
      <c r="AQ125" s="361">
        <f>AQ121+AQ91+AQ71</f>
        <v>-1973050</v>
      </c>
      <c r="AR125" s="1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</row>
    <row r="126" spans="1:72" s="7" customFormat="1" ht="12.75" customHeight="1" x14ac:dyDescent="0.2">
      <c r="B126" s="145"/>
      <c r="C126" s="149"/>
      <c r="D126" s="254"/>
      <c r="E126" s="254"/>
      <c r="F126" s="254"/>
      <c r="G126" s="275"/>
      <c r="H126" s="275"/>
      <c r="I126" s="275"/>
      <c r="J126" s="275"/>
      <c r="K126" s="275"/>
      <c r="L126" s="275"/>
      <c r="M126" s="275"/>
      <c r="N126" s="275"/>
      <c r="O126" s="275"/>
      <c r="P126" s="275"/>
      <c r="Q126" s="275"/>
      <c r="R126" s="275"/>
      <c r="S126" s="366"/>
      <c r="T126" s="319"/>
      <c r="U126" s="275"/>
      <c r="V126" s="275"/>
      <c r="W126" s="255"/>
      <c r="X126" s="275"/>
      <c r="Y126" s="275"/>
      <c r="Z126" s="255"/>
      <c r="AA126" s="275"/>
      <c r="AB126" s="73"/>
      <c r="AC126" s="73"/>
      <c r="AD126" s="73"/>
      <c r="AE126" s="73"/>
      <c r="AF126" s="73"/>
      <c r="AG126" s="73"/>
      <c r="AH126" s="73"/>
      <c r="AI126" s="73"/>
      <c r="AJ126" s="73"/>
      <c r="AK126" s="73"/>
      <c r="AL126" s="73"/>
      <c r="AM126" s="73"/>
      <c r="AN126" s="73"/>
      <c r="AO126" s="73"/>
      <c r="AP126" s="58"/>
      <c r="AQ126" s="275"/>
      <c r="AR126" s="1"/>
    </row>
    <row r="127" spans="1:72" s="57" customFormat="1" ht="12.75" customHeight="1" x14ac:dyDescent="0.2">
      <c r="A127" s="7"/>
      <c r="B127" s="262" t="s">
        <v>119</v>
      </c>
      <c r="C127" s="263"/>
      <c r="D127" s="264"/>
      <c r="E127" s="264"/>
      <c r="F127" s="264"/>
      <c r="G127" s="271"/>
      <c r="H127" s="271"/>
      <c r="I127" s="271"/>
      <c r="J127" s="271"/>
      <c r="K127" s="271"/>
      <c r="L127" s="271"/>
      <c r="M127" s="271"/>
      <c r="N127" s="271"/>
      <c r="O127" s="271"/>
      <c r="P127" s="271"/>
      <c r="Q127" s="271"/>
      <c r="R127" s="271"/>
      <c r="S127" s="326"/>
      <c r="T127" s="316"/>
      <c r="U127" s="271"/>
      <c r="V127" s="271"/>
      <c r="W127" s="266"/>
      <c r="X127" s="271"/>
      <c r="Y127" s="271"/>
      <c r="Z127" s="266"/>
      <c r="AA127" s="271"/>
      <c r="AB127" s="273"/>
      <c r="AC127" s="273"/>
      <c r="AD127" s="273"/>
      <c r="AE127" s="273"/>
      <c r="AF127" s="273"/>
      <c r="AG127" s="273"/>
      <c r="AH127" s="273"/>
      <c r="AI127" s="273"/>
      <c r="AJ127" s="273"/>
      <c r="AK127" s="273"/>
      <c r="AL127" s="273"/>
      <c r="AM127" s="273"/>
      <c r="AN127" s="273"/>
      <c r="AO127" s="273"/>
      <c r="AP127" s="58"/>
      <c r="AQ127" s="271"/>
      <c r="AR127" s="1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</row>
    <row r="128" spans="1:72" s="7" customFormat="1" ht="12.75" hidden="1" customHeight="1" x14ac:dyDescent="0.2">
      <c r="B128" s="134" t="s">
        <v>250</v>
      </c>
      <c r="C128" s="135" t="s">
        <v>9</v>
      </c>
      <c r="D128" s="136">
        <v>8173</v>
      </c>
      <c r="E128" s="136">
        <v>8630</v>
      </c>
      <c r="F128" s="136">
        <v>7200</v>
      </c>
      <c r="G128" s="275">
        <f t="shared" ref="G128" si="45">SUM(I128,K128,M128:AA128)</f>
        <v>-11613</v>
      </c>
      <c r="H128" s="275">
        <v>0</v>
      </c>
      <c r="I128" s="133">
        <v>-11613</v>
      </c>
      <c r="J128" s="275"/>
      <c r="K128" s="133"/>
      <c r="L128" s="133"/>
      <c r="M128" s="275"/>
      <c r="N128" s="275"/>
      <c r="O128" s="275"/>
      <c r="P128" s="275"/>
      <c r="Q128" s="275"/>
      <c r="R128" s="275"/>
      <c r="S128" s="366"/>
      <c r="T128" s="319"/>
      <c r="U128" s="275"/>
      <c r="V128" s="275"/>
      <c r="W128" s="255"/>
      <c r="X128" s="275"/>
      <c r="Y128" s="275"/>
      <c r="Z128" s="255"/>
      <c r="AA128" s="275"/>
      <c r="AB128" s="276"/>
      <c r="AC128" s="276"/>
      <c r="AD128" s="276"/>
      <c r="AE128" s="275"/>
      <c r="AF128" s="275"/>
      <c r="AG128" s="275"/>
      <c r="AH128" s="275"/>
      <c r="AI128" s="275"/>
      <c r="AJ128" s="275"/>
      <c r="AK128" s="275"/>
      <c r="AL128" s="275"/>
      <c r="AM128" s="275"/>
      <c r="AN128" s="275"/>
      <c r="AO128" s="275"/>
      <c r="AP128" s="58"/>
      <c r="AQ128" s="275"/>
      <c r="AR128" s="1"/>
    </row>
    <row r="129" spans="1:72" s="7" customFormat="1" ht="12.75" customHeight="1" x14ac:dyDescent="0.2">
      <c r="B129" s="134" t="s">
        <v>257</v>
      </c>
      <c r="C129" s="135"/>
      <c r="D129" s="136"/>
      <c r="E129" s="136"/>
      <c r="F129" s="136"/>
      <c r="G129" s="133">
        <f t="shared" ref="G129" si="46">SUM(M129,U129:AA129,AQ129)</f>
        <v>-80000</v>
      </c>
      <c r="H129" s="275"/>
      <c r="I129" s="133"/>
      <c r="J129" s="275"/>
      <c r="K129" s="133"/>
      <c r="L129" s="133"/>
      <c r="M129" s="133"/>
      <c r="N129" s="133"/>
      <c r="O129" s="133"/>
      <c r="P129" s="133"/>
      <c r="Q129" s="133"/>
      <c r="R129" s="133"/>
      <c r="S129" s="345"/>
      <c r="T129" s="307"/>
      <c r="U129" s="133">
        <v>-80000</v>
      </c>
      <c r="V129" s="133"/>
      <c r="W129" s="143"/>
      <c r="X129" s="133"/>
      <c r="Y129" s="133"/>
      <c r="Z129" s="143"/>
      <c r="AA129" s="133"/>
      <c r="AB129" s="269"/>
      <c r="AC129" s="269"/>
      <c r="AD129" s="269"/>
      <c r="AE129" s="133"/>
      <c r="AF129" s="133"/>
      <c r="AG129" s="133"/>
      <c r="AH129" s="133"/>
      <c r="AI129" s="133"/>
      <c r="AJ129" s="133"/>
      <c r="AK129" s="133"/>
      <c r="AL129" s="133"/>
      <c r="AM129" s="133"/>
      <c r="AN129" s="133"/>
      <c r="AO129" s="133"/>
      <c r="AP129" s="58"/>
      <c r="AQ129" s="133"/>
      <c r="AR129" s="1"/>
    </row>
    <row r="130" spans="1:72" s="57" customFormat="1" ht="12.75" customHeight="1" x14ac:dyDescent="0.2">
      <c r="A130" s="7"/>
      <c r="B130" s="262" t="s">
        <v>120</v>
      </c>
      <c r="C130" s="263"/>
      <c r="D130" s="264"/>
      <c r="E130" s="264"/>
      <c r="F130" s="264"/>
      <c r="G130" s="271">
        <f>SUM(G129)</f>
        <v>-80000</v>
      </c>
      <c r="H130" s="271">
        <f t="shared" ref="H130:Q130" si="47">SUM(H129)</f>
        <v>0</v>
      </c>
      <c r="I130" s="271">
        <f t="shared" si="47"/>
        <v>0</v>
      </c>
      <c r="J130" s="271">
        <f t="shared" si="47"/>
        <v>0</v>
      </c>
      <c r="K130" s="271">
        <f t="shared" si="47"/>
        <v>0</v>
      </c>
      <c r="L130" s="271">
        <f t="shared" si="47"/>
        <v>0</v>
      </c>
      <c r="M130" s="271">
        <f t="shared" si="47"/>
        <v>0</v>
      </c>
      <c r="N130" s="271">
        <f t="shared" si="47"/>
        <v>0</v>
      </c>
      <c r="O130" s="271">
        <f t="shared" si="47"/>
        <v>0</v>
      </c>
      <c r="P130" s="271">
        <f t="shared" si="47"/>
        <v>0</v>
      </c>
      <c r="Q130" s="271">
        <f t="shared" si="47"/>
        <v>0</v>
      </c>
      <c r="R130" s="272">
        <v>0</v>
      </c>
      <c r="S130" s="326"/>
      <c r="T130" s="316"/>
      <c r="U130" s="271">
        <f t="shared" ref="U130" si="48">SUM(U129)</f>
        <v>-80000</v>
      </c>
      <c r="V130" s="271"/>
      <c r="W130" s="266"/>
      <c r="X130" s="271">
        <f t="shared" ref="X130" si="49">SUM(X129)</f>
        <v>0</v>
      </c>
      <c r="Y130" s="271"/>
      <c r="Z130" s="266"/>
      <c r="AA130" s="271">
        <f t="shared" ref="AA130" si="50">SUM(AA129)</f>
        <v>0</v>
      </c>
      <c r="AB130" s="273"/>
      <c r="AC130" s="273"/>
      <c r="AD130" s="273">
        <f t="shared" ref="AD130:AO130" si="51">SUM(AD128)</f>
        <v>0</v>
      </c>
      <c r="AE130" s="271">
        <f t="shared" si="51"/>
        <v>0</v>
      </c>
      <c r="AF130" s="271">
        <f t="shared" si="51"/>
        <v>0</v>
      </c>
      <c r="AG130" s="271">
        <f t="shared" si="51"/>
        <v>0</v>
      </c>
      <c r="AH130" s="271">
        <f t="shared" si="51"/>
        <v>0</v>
      </c>
      <c r="AI130" s="271">
        <f t="shared" si="51"/>
        <v>0</v>
      </c>
      <c r="AJ130" s="271">
        <f t="shared" si="51"/>
        <v>0</v>
      </c>
      <c r="AK130" s="271">
        <f t="shared" si="51"/>
        <v>0</v>
      </c>
      <c r="AL130" s="271">
        <f t="shared" si="51"/>
        <v>0</v>
      </c>
      <c r="AM130" s="271">
        <f t="shared" si="51"/>
        <v>0</v>
      </c>
      <c r="AN130" s="271">
        <f t="shared" si="51"/>
        <v>0</v>
      </c>
      <c r="AO130" s="271">
        <f t="shared" si="51"/>
        <v>0</v>
      </c>
      <c r="AP130" s="58"/>
      <c r="AQ130" s="271">
        <f t="shared" ref="AQ130" si="52">SUM(AQ129)</f>
        <v>0</v>
      </c>
      <c r="AR130" s="1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</row>
    <row r="131" spans="1:72" s="57" customFormat="1" ht="12.75" customHeight="1" x14ac:dyDescent="0.2">
      <c r="A131" s="7"/>
      <c r="B131" s="262"/>
      <c r="C131" s="263"/>
      <c r="D131" s="264"/>
      <c r="E131" s="264"/>
      <c r="F131" s="264"/>
      <c r="G131" s="271"/>
      <c r="H131" s="271"/>
      <c r="I131" s="271"/>
      <c r="J131" s="271"/>
      <c r="K131" s="271"/>
      <c r="L131" s="271"/>
      <c r="M131" s="271"/>
      <c r="N131" s="271"/>
      <c r="O131" s="271"/>
      <c r="P131" s="271"/>
      <c r="Q131" s="271"/>
      <c r="R131" s="271"/>
      <c r="S131" s="326"/>
      <c r="T131" s="316"/>
      <c r="U131" s="271"/>
      <c r="V131" s="271"/>
      <c r="W131" s="266"/>
      <c r="X131" s="271"/>
      <c r="Y131" s="271"/>
      <c r="Z131" s="266"/>
      <c r="AA131" s="271"/>
      <c r="AB131" s="273"/>
      <c r="AC131" s="273"/>
      <c r="AD131" s="273"/>
      <c r="AE131" s="273"/>
      <c r="AF131" s="273"/>
      <c r="AG131" s="273"/>
      <c r="AH131" s="273"/>
      <c r="AI131" s="273"/>
      <c r="AJ131" s="273"/>
      <c r="AK131" s="273"/>
      <c r="AL131" s="273"/>
      <c r="AM131" s="273"/>
      <c r="AN131" s="273"/>
      <c r="AO131" s="273"/>
      <c r="AP131" s="58"/>
      <c r="AQ131" s="271"/>
      <c r="AR131" s="1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</row>
    <row r="132" spans="1:72" s="57" customFormat="1" ht="12.75" customHeight="1" x14ac:dyDescent="0.2">
      <c r="A132" s="7"/>
      <c r="B132" s="243" t="s">
        <v>251</v>
      </c>
      <c r="C132" s="244"/>
      <c r="D132" s="335"/>
      <c r="E132" s="335"/>
      <c r="F132" s="335"/>
      <c r="G132" s="336">
        <f t="shared" ref="G132:Q132" si="53">G8+G20+G42+G71+G91+G121+G130</f>
        <v>-12234465.01</v>
      </c>
      <c r="H132" s="336">
        <f t="shared" si="53"/>
        <v>-1230000</v>
      </c>
      <c r="I132" s="336">
        <f t="shared" si="53"/>
        <v>-533116</v>
      </c>
      <c r="J132" s="336">
        <f t="shared" si="53"/>
        <v>-1589455</v>
      </c>
      <c r="K132" s="336">
        <f t="shared" si="53"/>
        <v>-1101676.76</v>
      </c>
      <c r="L132" s="336">
        <f t="shared" si="53"/>
        <v>-948200</v>
      </c>
      <c r="M132" s="336">
        <f t="shared" si="53"/>
        <v>-583315.01</v>
      </c>
      <c r="N132" s="336">
        <f t="shared" si="53"/>
        <v>-5488200</v>
      </c>
      <c r="O132" s="336">
        <f t="shared" si="53"/>
        <v>2417950</v>
      </c>
      <c r="P132" s="336">
        <f t="shared" si="53"/>
        <v>-3070250</v>
      </c>
      <c r="Q132" s="336">
        <f t="shared" si="53"/>
        <v>-576755.71</v>
      </c>
      <c r="R132" s="337">
        <f t="shared" ref="R132:R134" si="54">Q132/P132</f>
        <v>0.1878530119697093</v>
      </c>
      <c r="S132" s="335"/>
      <c r="T132" s="338"/>
      <c r="U132" s="336">
        <f>U8+U20+U42+U71+U91+U121+U130</f>
        <v>-6076000</v>
      </c>
      <c r="V132" s="336"/>
      <c r="W132" s="367"/>
      <c r="X132" s="336">
        <f>X8+X20+X42+X71+X91+X121+X130</f>
        <v>-2227100</v>
      </c>
      <c r="Y132" s="336"/>
      <c r="Z132" s="367"/>
      <c r="AA132" s="336">
        <f>AA8+AA20+AA42+AA71+AA91+AA121+AA130</f>
        <v>-621000</v>
      </c>
      <c r="AB132" s="368"/>
      <c r="AC132" s="368"/>
      <c r="AD132" s="368">
        <f t="shared" ref="AD132:AO132" si="55">AD8+AD20+AD42+AD71+AD91+AD121</f>
        <v>-45750</v>
      </c>
      <c r="AE132" s="336">
        <f t="shared" si="55"/>
        <v>-30500</v>
      </c>
      <c r="AF132" s="336">
        <f t="shared" si="55"/>
        <v>0</v>
      </c>
      <c r="AG132" s="336">
        <f t="shared" si="55"/>
        <v>0</v>
      </c>
      <c r="AH132" s="336">
        <f t="shared" si="55"/>
        <v>0</v>
      </c>
      <c r="AI132" s="336">
        <f t="shared" si="55"/>
        <v>0</v>
      </c>
      <c r="AJ132" s="336" t="e">
        <f t="shared" si="55"/>
        <v>#VALUE!</v>
      </c>
      <c r="AK132" s="336">
        <f t="shared" si="55"/>
        <v>-474110.05249999999</v>
      </c>
      <c r="AL132" s="336">
        <f t="shared" si="55"/>
        <v>-617773.66587499995</v>
      </c>
      <c r="AM132" s="336">
        <f t="shared" si="55"/>
        <v>-32060.804</v>
      </c>
      <c r="AN132" s="336">
        <f t="shared" si="55"/>
        <v>0</v>
      </c>
      <c r="AO132" s="336">
        <f t="shared" si="55"/>
        <v>0</v>
      </c>
      <c r="AP132" s="58"/>
      <c r="AQ132" s="336">
        <f>AQ8+AQ20+AQ42+AQ71+AQ91+AQ121+AQ130</f>
        <v>-2728050</v>
      </c>
      <c r="AR132" s="1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</row>
    <row r="133" spans="1:72" s="57" customFormat="1" ht="12.75" customHeight="1" x14ac:dyDescent="0.2">
      <c r="A133" s="7"/>
      <c r="B133" s="243" t="s">
        <v>252</v>
      </c>
      <c r="C133" s="244"/>
      <c r="D133" s="335"/>
      <c r="E133" s="335"/>
      <c r="F133" s="335"/>
      <c r="G133" s="336">
        <f>G16+G21</f>
        <v>135759.87</v>
      </c>
      <c r="H133" s="336">
        <f>H21+H29</f>
        <v>173009</v>
      </c>
      <c r="I133" s="336">
        <f>I21+I29+I74</f>
        <v>88704</v>
      </c>
      <c r="J133" s="336">
        <f>J75+J21</f>
        <v>130000</v>
      </c>
      <c r="K133" s="336">
        <f>K75+K21</f>
        <v>108786</v>
      </c>
      <c r="L133" s="336">
        <f>L16+L21+L75</f>
        <v>100000</v>
      </c>
      <c r="M133" s="336">
        <f>M16+M21</f>
        <v>125759.87</v>
      </c>
      <c r="N133" s="336">
        <f>N16+N21</f>
        <v>0</v>
      </c>
      <c r="O133" s="336">
        <f>O16+O21</f>
        <v>0</v>
      </c>
      <c r="P133" s="336">
        <f>P16+P21</f>
        <v>0</v>
      </c>
      <c r="Q133" s="336">
        <f>Q16+Q21</f>
        <v>9176.07</v>
      </c>
      <c r="R133" s="337">
        <v>0</v>
      </c>
      <c r="S133" s="335"/>
      <c r="T133" s="338"/>
      <c r="U133" s="336">
        <f>U16+U21</f>
        <v>0</v>
      </c>
      <c r="V133" s="336"/>
      <c r="W133" s="367"/>
      <c r="X133" s="336">
        <f>X16+X21</f>
        <v>0</v>
      </c>
      <c r="Y133" s="336"/>
      <c r="Z133" s="367"/>
      <c r="AA133" s="336">
        <f>AA16+AA21</f>
        <v>0</v>
      </c>
      <c r="AB133" s="368"/>
      <c r="AC133" s="368"/>
      <c r="AD133" s="368">
        <f t="shared" ref="AD133:AO133" si="56">AD16+AD21+AD75</f>
        <v>0</v>
      </c>
      <c r="AE133" s="336">
        <f t="shared" si="56"/>
        <v>0</v>
      </c>
      <c r="AF133" s="336">
        <f t="shared" si="56"/>
        <v>0</v>
      </c>
      <c r="AG133" s="336">
        <f t="shared" si="56"/>
        <v>0</v>
      </c>
      <c r="AH133" s="336">
        <f t="shared" si="56"/>
        <v>0</v>
      </c>
      <c r="AI133" s="336">
        <f t="shared" si="56"/>
        <v>0</v>
      </c>
      <c r="AJ133" s="336" t="e">
        <f t="shared" si="56"/>
        <v>#VALUE!</v>
      </c>
      <c r="AK133" s="336">
        <f t="shared" si="56"/>
        <v>0</v>
      </c>
      <c r="AL133" s="336">
        <f t="shared" si="56"/>
        <v>0</v>
      </c>
      <c r="AM133" s="336">
        <f t="shared" si="56"/>
        <v>0</v>
      </c>
      <c r="AN133" s="336">
        <f t="shared" si="56"/>
        <v>0</v>
      </c>
      <c r="AO133" s="336">
        <f t="shared" si="56"/>
        <v>0</v>
      </c>
      <c r="AP133" s="58"/>
      <c r="AQ133" s="336">
        <f>AQ16+AQ21</f>
        <v>10000</v>
      </c>
      <c r="AR133" s="1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</row>
    <row r="134" spans="1:72" s="57" customFormat="1" ht="12.75" customHeight="1" x14ac:dyDescent="0.2">
      <c r="A134" s="7"/>
      <c r="B134" s="243" t="s">
        <v>124</v>
      </c>
      <c r="C134" s="244"/>
      <c r="D134" s="335"/>
      <c r="E134" s="335"/>
      <c r="F134" s="335"/>
      <c r="G134" s="336">
        <f>G132+G133</f>
        <v>-12098705.140000001</v>
      </c>
      <c r="H134" s="336">
        <f>H132+H133</f>
        <v>-1056991</v>
      </c>
      <c r="I134" s="336">
        <f>I132+I133</f>
        <v>-444412</v>
      </c>
      <c r="J134" s="336">
        <f>J132+J133</f>
        <v>-1459455</v>
      </c>
      <c r="K134" s="336">
        <f>K132+K133</f>
        <v>-992890.76</v>
      </c>
      <c r="L134" s="336">
        <f t="shared" ref="L134" si="57">L132+L133</f>
        <v>-848200</v>
      </c>
      <c r="M134" s="336">
        <f>M132+M133</f>
        <v>-457555.14</v>
      </c>
      <c r="N134" s="336">
        <f>N132+N133</f>
        <v>-5488200</v>
      </c>
      <c r="O134" s="336">
        <f>O132+O133</f>
        <v>2417950</v>
      </c>
      <c r="P134" s="336">
        <f>P132+P133</f>
        <v>-3070250</v>
      </c>
      <c r="Q134" s="336">
        <f>Q132+Q133</f>
        <v>-567579.64</v>
      </c>
      <c r="R134" s="337">
        <f t="shared" si="54"/>
        <v>0.18486430746681867</v>
      </c>
      <c r="S134" s="335"/>
      <c r="T134" s="338"/>
      <c r="U134" s="336">
        <f>U132+U133</f>
        <v>-6076000</v>
      </c>
      <c r="V134" s="336"/>
      <c r="W134" s="367"/>
      <c r="X134" s="336">
        <f>X132+X133</f>
        <v>-2227100</v>
      </c>
      <c r="Y134" s="336"/>
      <c r="Z134" s="367"/>
      <c r="AA134" s="336">
        <f>AA132+AA133</f>
        <v>-621000</v>
      </c>
      <c r="AB134" s="368"/>
      <c r="AC134" s="368"/>
      <c r="AD134" s="368">
        <f t="shared" ref="AD134:AO134" si="58">AD132+AD133</f>
        <v>-45750</v>
      </c>
      <c r="AE134" s="336">
        <f t="shared" si="58"/>
        <v>-30500</v>
      </c>
      <c r="AF134" s="336">
        <f t="shared" si="58"/>
        <v>0</v>
      </c>
      <c r="AG134" s="336">
        <f t="shared" si="58"/>
        <v>0</v>
      </c>
      <c r="AH134" s="336">
        <f t="shared" si="58"/>
        <v>0</v>
      </c>
      <c r="AI134" s="336">
        <f t="shared" si="58"/>
        <v>0</v>
      </c>
      <c r="AJ134" s="336" t="e">
        <f t="shared" si="58"/>
        <v>#VALUE!</v>
      </c>
      <c r="AK134" s="336">
        <f t="shared" si="58"/>
        <v>-474110.05249999999</v>
      </c>
      <c r="AL134" s="336">
        <f t="shared" si="58"/>
        <v>-617773.66587499995</v>
      </c>
      <c r="AM134" s="336">
        <f t="shared" si="58"/>
        <v>-32060.804</v>
      </c>
      <c r="AN134" s="336">
        <f t="shared" si="58"/>
        <v>0</v>
      </c>
      <c r="AO134" s="336">
        <f t="shared" si="58"/>
        <v>0</v>
      </c>
      <c r="AP134" s="58"/>
      <c r="AQ134" s="336">
        <f>AQ132+AQ133</f>
        <v>-2718050</v>
      </c>
      <c r="AR134" s="1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</row>
    <row r="135" spans="1:72" s="7" customFormat="1" ht="13.5" customHeight="1" x14ac:dyDescent="0.2">
      <c r="B135" s="3"/>
      <c r="C135" s="3"/>
      <c r="D135" s="69"/>
      <c r="E135" s="69"/>
      <c r="F135" s="69"/>
      <c r="G135" s="17"/>
      <c r="H135" s="75"/>
      <c r="I135" s="75"/>
      <c r="J135" s="17"/>
      <c r="K135" s="17"/>
      <c r="L135" s="17"/>
      <c r="M135" s="75"/>
      <c r="N135" s="17"/>
      <c r="O135" s="75"/>
      <c r="P135" s="75"/>
      <c r="Q135" s="75"/>
      <c r="R135" s="75"/>
      <c r="S135" s="75"/>
      <c r="T135" s="75"/>
      <c r="U135" s="17"/>
      <c r="V135" s="17"/>
      <c r="W135" s="111"/>
      <c r="X135" s="17"/>
      <c r="Y135" s="17"/>
      <c r="Z135" s="111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Q135" s="87"/>
      <c r="AR135" s="1"/>
    </row>
    <row r="136" spans="1:72" ht="13.5" customHeight="1" x14ac:dyDescent="0.2">
      <c r="G136" s="1"/>
      <c r="H136" s="76"/>
      <c r="J136" s="14"/>
      <c r="M136" s="63"/>
      <c r="N136" s="1"/>
      <c r="O136" s="63"/>
      <c r="P136" s="63"/>
      <c r="Q136" s="63"/>
      <c r="R136" s="63"/>
      <c r="T136" s="63"/>
      <c r="AA136" s="14"/>
      <c r="AB136" s="14"/>
      <c r="AC136" s="14"/>
      <c r="AD136" s="14"/>
      <c r="AE136" s="14"/>
      <c r="AF136" s="14"/>
      <c r="AG136" s="14"/>
      <c r="AH136" s="14"/>
      <c r="AI136" s="14"/>
    </row>
    <row r="137" spans="1:72" x14ac:dyDescent="0.2">
      <c r="G137" s="1"/>
      <c r="M137" s="63"/>
      <c r="N137" s="1"/>
      <c r="O137" s="63"/>
      <c r="P137" s="63"/>
      <c r="Q137" s="63"/>
      <c r="R137" s="63"/>
      <c r="T137" s="63"/>
    </row>
    <row r="138" spans="1:72" x14ac:dyDescent="0.2">
      <c r="G138" s="1"/>
      <c r="M138" s="63"/>
      <c r="N138" s="1"/>
      <c r="O138" s="63"/>
      <c r="P138" s="63"/>
      <c r="Q138" s="63"/>
      <c r="R138" s="63"/>
      <c r="T138" s="63"/>
    </row>
    <row r="139" spans="1:72" x14ac:dyDescent="0.2">
      <c r="G139" s="1"/>
      <c r="M139" s="63"/>
      <c r="N139" s="1"/>
      <c r="O139" s="63"/>
      <c r="P139" s="63"/>
      <c r="Q139" s="63"/>
      <c r="R139" s="63"/>
      <c r="T139" s="63"/>
    </row>
    <row r="140" spans="1:72" x14ac:dyDescent="0.2">
      <c r="G140" s="1"/>
      <c r="M140" s="63"/>
      <c r="N140" s="1"/>
      <c r="O140" s="63"/>
      <c r="P140" s="63"/>
      <c r="Q140" s="63"/>
      <c r="R140" s="63"/>
      <c r="T140" s="63"/>
    </row>
    <row r="141" spans="1:72" x14ac:dyDescent="0.2">
      <c r="G141" s="1"/>
      <c r="M141" s="63"/>
      <c r="N141" s="1"/>
      <c r="O141" s="63"/>
      <c r="P141" s="63"/>
      <c r="Q141" s="63"/>
      <c r="R141" s="63"/>
      <c r="T141" s="63"/>
    </row>
    <row r="142" spans="1:72" x14ac:dyDescent="0.2">
      <c r="G142" s="1"/>
      <c r="M142" s="63"/>
      <c r="N142" s="1"/>
      <c r="O142" s="63"/>
      <c r="P142" s="63"/>
      <c r="Q142" s="63"/>
      <c r="R142" s="63"/>
      <c r="T142" s="63"/>
    </row>
    <row r="143" spans="1:72" x14ac:dyDescent="0.2">
      <c r="G143" s="1"/>
      <c r="M143" s="63"/>
      <c r="N143" s="1"/>
      <c r="O143" s="63"/>
      <c r="P143" s="63"/>
      <c r="Q143" s="63"/>
      <c r="R143" s="63"/>
      <c r="T143" s="63"/>
    </row>
    <row r="144" spans="1:72" x14ac:dyDescent="0.2">
      <c r="G144" s="1"/>
      <c r="M144" s="63"/>
      <c r="N144" s="1"/>
      <c r="O144" s="63"/>
      <c r="P144" s="63"/>
      <c r="Q144" s="63"/>
      <c r="R144" s="63"/>
      <c r="T144" s="63"/>
    </row>
    <row r="145" spans="7:20" x14ac:dyDescent="0.2">
      <c r="G145" s="1"/>
      <c r="M145" s="63"/>
      <c r="N145" s="1"/>
      <c r="O145" s="63"/>
      <c r="P145" s="63"/>
      <c r="Q145" s="63"/>
      <c r="R145" s="63"/>
      <c r="T145" s="63"/>
    </row>
    <row r="146" spans="7:20" x14ac:dyDescent="0.2">
      <c r="G146" s="1"/>
      <c r="M146" s="63"/>
      <c r="N146" s="1"/>
      <c r="O146" s="63"/>
      <c r="P146" s="63"/>
      <c r="Q146" s="63"/>
      <c r="R146" s="63"/>
      <c r="T146" s="63"/>
    </row>
    <row r="147" spans="7:20" x14ac:dyDescent="0.2">
      <c r="G147" s="1"/>
      <c r="M147" s="63"/>
      <c r="N147" s="1"/>
      <c r="O147" s="63"/>
      <c r="P147" s="63"/>
      <c r="Q147" s="63"/>
      <c r="R147" s="63"/>
      <c r="T147" s="63"/>
    </row>
    <row r="148" spans="7:20" x14ac:dyDescent="0.2">
      <c r="G148" s="1"/>
      <c r="M148" s="63"/>
      <c r="N148" s="1"/>
      <c r="O148" s="63"/>
      <c r="P148" s="63"/>
      <c r="Q148" s="63"/>
      <c r="R148" s="63"/>
      <c r="T148" s="63"/>
    </row>
    <row r="149" spans="7:20" x14ac:dyDescent="0.2">
      <c r="G149" s="1"/>
      <c r="M149" s="63"/>
      <c r="N149" s="1"/>
      <c r="O149" s="63"/>
      <c r="P149" s="63"/>
      <c r="Q149" s="63"/>
      <c r="R149" s="63"/>
      <c r="T149" s="63"/>
    </row>
    <row r="150" spans="7:20" x14ac:dyDescent="0.2">
      <c r="G150" s="1"/>
      <c r="M150" s="63"/>
      <c r="N150" s="1"/>
      <c r="O150" s="63"/>
      <c r="P150" s="63"/>
      <c r="Q150" s="63"/>
      <c r="R150" s="63"/>
      <c r="T150" s="63"/>
    </row>
    <row r="151" spans="7:20" x14ac:dyDescent="0.2">
      <c r="G151" s="1"/>
      <c r="M151" s="63"/>
      <c r="N151" s="1"/>
      <c r="O151" s="63"/>
      <c r="P151" s="63"/>
      <c r="Q151" s="63"/>
      <c r="R151" s="63"/>
      <c r="T151" s="63"/>
    </row>
    <row r="152" spans="7:20" x14ac:dyDescent="0.2">
      <c r="G152" s="1"/>
      <c r="M152" s="63"/>
      <c r="N152" s="1"/>
      <c r="O152" s="63"/>
      <c r="P152" s="63"/>
      <c r="Q152" s="63"/>
      <c r="R152" s="63"/>
      <c r="T152" s="63"/>
    </row>
    <row r="153" spans="7:20" x14ac:dyDescent="0.2">
      <c r="G153" s="1"/>
      <c r="M153" s="63"/>
      <c r="N153" s="1"/>
      <c r="O153" s="63"/>
      <c r="P153" s="63"/>
      <c r="Q153" s="63"/>
      <c r="R153" s="63"/>
      <c r="T153" s="63"/>
    </row>
    <row r="154" spans="7:20" x14ac:dyDescent="0.2">
      <c r="G154" s="1"/>
      <c r="M154" s="63"/>
      <c r="N154" s="1"/>
      <c r="O154" s="63"/>
      <c r="P154" s="63"/>
      <c r="Q154" s="63"/>
      <c r="R154" s="63"/>
      <c r="T154" s="63"/>
    </row>
    <row r="155" spans="7:20" x14ac:dyDescent="0.2">
      <c r="G155" s="1"/>
      <c r="M155" s="63"/>
      <c r="N155" s="1"/>
      <c r="O155" s="63"/>
      <c r="P155" s="63"/>
      <c r="Q155" s="63"/>
      <c r="R155" s="63"/>
      <c r="T155" s="63"/>
    </row>
    <row r="156" spans="7:20" x14ac:dyDescent="0.2">
      <c r="G156" s="1"/>
      <c r="M156" s="63"/>
      <c r="N156" s="1"/>
      <c r="O156" s="63"/>
      <c r="P156" s="63"/>
      <c r="Q156" s="63"/>
      <c r="R156" s="63"/>
      <c r="T156" s="63"/>
    </row>
    <row r="157" spans="7:20" x14ac:dyDescent="0.2">
      <c r="G157" s="1"/>
      <c r="M157" s="63"/>
      <c r="N157" s="1"/>
      <c r="O157" s="63"/>
      <c r="P157" s="63"/>
      <c r="Q157" s="63"/>
      <c r="R157" s="63"/>
      <c r="T157" s="63"/>
    </row>
    <row r="158" spans="7:20" x14ac:dyDescent="0.2">
      <c r="G158" s="1"/>
      <c r="M158" s="63"/>
      <c r="N158" s="1"/>
      <c r="O158" s="63"/>
      <c r="P158" s="63"/>
      <c r="Q158" s="63"/>
      <c r="R158" s="63"/>
      <c r="T158" s="63"/>
    </row>
    <row r="159" spans="7:20" x14ac:dyDescent="0.2">
      <c r="G159" s="1"/>
      <c r="M159" s="63"/>
      <c r="N159" s="1"/>
      <c r="O159" s="63"/>
      <c r="P159" s="63"/>
      <c r="Q159" s="63"/>
      <c r="R159" s="63"/>
      <c r="T159" s="63"/>
    </row>
    <row r="160" spans="7:20" x14ac:dyDescent="0.2">
      <c r="G160" s="1"/>
      <c r="M160" s="63"/>
      <c r="N160" s="1"/>
      <c r="O160" s="63"/>
      <c r="P160" s="63"/>
      <c r="Q160" s="63"/>
      <c r="R160" s="63"/>
      <c r="T160" s="63"/>
    </row>
    <row r="161" spans="7:20" x14ac:dyDescent="0.2">
      <c r="G161" s="1"/>
      <c r="M161" s="63"/>
      <c r="N161" s="1"/>
      <c r="O161" s="63"/>
      <c r="P161" s="63"/>
      <c r="Q161" s="63"/>
      <c r="R161" s="63"/>
      <c r="T161" s="63"/>
    </row>
    <row r="162" spans="7:20" x14ac:dyDescent="0.2">
      <c r="G162" s="1"/>
      <c r="M162" s="63"/>
      <c r="N162" s="1"/>
      <c r="O162" s="63"/>
      <c r="P162" s="63"/>
      <c r="Q162" s="63"/>
      <c r="R162" s="63"/>
      <c r="T162" s="63"/>
    </row>
    <row r="163" spans="7:20" x14ac:dyDescent="0.2">
      <c r="G163" s="1"/>
      <c r="M163" s="63"/>
      <c r="N163" s="1"/>
      <c r="O163" s="63"/>
      <c r="P163" s="63"/>
      <c r="Q163" s="63"/>
      <c r="R163" s="63"/>
      <c r="T163" s="63"/>
    </row>
    <row r="164" spans="7:20" x14ac:dyDescent="0.2">
      <c r="G164" s="1"/>
      <c r="M164" s="63"/>
      <c r="N164" s="1"/>
      <c r="O164" s="63"/>
      <c r="P164" s="63"/>
      <c r="Q164" s="63"/>
      <c r="R164" s="63"/>
      <c r="T164" s="63"/>
    </row>
    <row r="165" spans="7:20" x14ac:dyDescent="0.2">
      <c r="G165" s="1"/>
      <c r="M165" s="63"/>
      <c r="N165" s="1"/>
      <c r="O165" s="63"/>
      <c r="P165" s="63"/>
      <c r="Q165" s="63"/>
      <c r="R165" s="63"/>
      <c r="T165" s="63"/>
    </row>
    <row r="166" spans="7:20" x14ac:dyDescent="0.2">
      <c r="G166" s="1"/>
      <c r="M166" s="63"/>
      <c r="N166" s="1"/>
      <c r="O166" s="63"/>
      <c r="P166" s="63"/>
      <c r="Q166" s="63"/>
      <c r="R166" s="63"/>
      <c r="T166" s="63"/>
    </row>
    <row r="167" spans="7:20" x14ac:dyDescent="0.2">
      <c r="G167" s="1"/>
      <c r="M167" s="63"/>
      <c r="N167" s="1"/>
      <c r="O167" s="63"/>
      <c r="P167" s="63"/>
      <c r="Q167" s="63"/>
      <c r="R167" s="63"/>
      <c r="T167" s="63"/>
    </row>
    <row r="168" spans="7:20" x14ac:dyDescent="0.2">
      <c r="G168" s="1"/>
      <c r="M168" s="63"/>
      <c r="N168" s="1"/>
      <c r="O168" s="63"/>
      <c r="P168" s="63"/>
      <c r="Q168" s="63"/>
      <c r="R168" s="63"/>
      <c r="T168" s="63"/>
    </row>
    <row r="169" spans="7:20" x14ac:dyDescent="0.2">
      <c r="G169" s="1"/>
      <c r="M169" s="63"/>
      <c r="N169" s="1"/>
      <c r="O169" s="63"/>
      <c r="P169" s="63"/>
      <c r="Q169" s="63"/>
      <c r="R169" s="63"/>
      <c r="T169" s="63"/>
    </row>
    <row r="170" spans="7:20" x14ac:dyDescent="0.2">
      <c r="G170" s="1"/>
      <c r="M170" s="63"/>
      <c r="N170" s="1"/>
      <c r="O170" s="63"/>
      <c r="P170" s="63"/>
      <c r="Q170" s="63"/>
      <c r="R170" s="63"/>
      <c r="T170" s="63"/>
    </row>
    <row r="171" spans="7:20" x14ac:dyDescent="0.2">
      <c r="G171" s="1"/>
      <c r="M171" s="63"/>
      <c r="N171" s="1"/>
      <c r="O171" s="63"/>
      <c r="P171" s="63"/>
      <c r="Q171" s="63"/>
      <c r="R171" s="63"/>
      <c r="T171" s="63"/>
    </row>
    <row r="172" spans="7:20" x14ac:dyDescent="0.2">
      <c r="G172" s="1"/>
      <c r="M172" s="63"/>
      <c r="N172" s="1"/>
      <c r="O172" s="63"/>
      <c r="P172" s="63"/>
      <c r="Q172" s="63"/>
      <c r="R172" s="63"/>
      <c r="T172" s="63"/>
    </row>
    <row r="173" spans="7:20" x14ac:dyDescent="0.2">
      <c r="G173" s="1"/>
      <c r="M173" s="63"/>
      <c r="N173" s="1"/>
      <c r="O173" s="63"/>
      <c r="P173" s="63"/>
      <c r="Q173" s="63"/>
      <c r="R173" s="63"/>
      <c r="T173" s="63"/>
    </row>
    <row r="174" spans="7:20" x14ac:dyDescent="0.2">
      <c r="G174" s="1"/>
      <c r="M174" s="63"/>
      <c r="N174" s="1"/>
      <c r="O174" s="63"/>
      <c r="P174" s="63"/>
      <c r="Q174" s="63"/>
      <c r="R174" s="63"/>
      <c r="T174" s="63"/>
    </row>
    <row r="175" spans="7:20" x14ac:dyDescent="0.2">
      <c r="G175" s="1"/>
      <c r="M175" s="63"/>
      <c r="N175" s="1"/>
      <c r="O175" s="63"/>
      <c r="P175" s="63"/>
      <c r="Q175" s="63"/>
      <c r="R175" s="63"/>
      <c r="T175" s="63"/>
    </row>
    <row r="176" spans="7:20" x14ac:dyDescent="0.2">
      <c r="G176" s="1"/>
      <c r="M176" s="63"/>
      <c r="N176" s="1"/>
      <c r="O176" s="63"/>
      <c r="P176" s="63"/>
      <c r="Q176" s="63"/>
      <c r="R176" s="63"/>
      <c r="T176" s="63"/>
    </row>
    <row r="177" spans="7:20" x14ac:dyDescent="0.2">
      <c r="G177" s="1"/>
      <c r="M177" s="63"/>
      <c r="N177" s="1"/>
      <c r="O177" s="63"/>
      <c r="P177" s="63"/>
      <c r="Q177" s="63"/>
      <c r="R177" s="63"/>
      <c r="T177" s="63"/>
    </row>
    <row r="178" spans="7:20" x14ac:dyDescent="0.2">
      <c r="G178" s="1"/>
      <c r="M178" s="63"/>
      <c r="N178" s="1"/>
      <c r="O178" s="63"/>
      <c r="P178" s="63"/>
      <c r="Q178" s="63"/>
      <c r="R178" s="63"/>
      <c r="T178" s="63"/>
    </row>
    <row r="179" spans="7:20" x14ac:dyDescent="0.2">
      <c r="G179" s="1"/>
      <c r="M179" s="63"/>
      <c r="N179" s="1"/>
      <c r="O179" s="63"/>
      <c r="P179" s="63"/>
      <c r="Q179" s="63"/>
      <c r="R179" s="63"/>
      <c r="T179" s="63"/>
    </row>
    <row r="180" spans="7:20" x14ac:dyDescent="0.2">
      <c r="G180" s="1"/>
      <c r="M180" s="63"/>
      <c r="N180" s="1"/>
      <c r="O180" s="63"/>
      <c r="P180" s="63"/>
      <c r="Q180" s="63"/>
      <c r="R180" s="63"/>
      <c r="T180" s="63"/>
    </row>
    <row r="181" spans="7:20" x14ac:dyDescent="0.2">
      <c r="G181" s="1"/>
      <c r="M181" s="63"/>
      <c r="N181" s="1"/>
      <c r="O181" s="63"/>
      <c r="P181" s="63"/>
      <c r="Q181" s="63"/>
      <c r="R181" s="63"/>
      <c r="T181" s="63"/>
    </row>
    <row r="182" spans="7:20" x14ac:dyDescent="0.2">
      <c r="G182" s="1"/>
      <c r="M182" s="63"/>
      <c r="N182" s="1"/>
      <c r="O182" s="63"/>
      <c r="P182" s="63"/>
      <c r="Q182" s="63"/>
      <c r="R182" s="63"/>
      <c r="T182" s="63"/>
    </row>
    <row r="183" spans="7:20" x14ac:dyDescent="0.2">
      <c r="G183" s="1"/>
      <c r="M183" s="63"/>
      <c r="N183" s="1"/>
      <c r="O183" s="63"/>
      <c r="P183" s="63"/>
      <c r="Q183" s="63"/>
      <c r="R183" s="63"/>
      <c r="T183" s="63"/>
    </row>
    <row r="184" spans="7:20" x14ac:dyDescent="0.2">
      <c r="G184" s="1"/>
      <c r="M184" s="63"/>
      <c r="N184" s="1"/>
      <c r="O184" s="63"/>
      <c r="P184" s="63"/>
      <c r="Q184" s="63"/>
      <c r="R184" s="63"/>
      <c r="T184" s="63"/>
    </row>
    <row r="185" spans="7:20" x14ac:dyDescent="0.2">
      <c r="G185" s="1"/>
      <c r="M185" s="63"/>
      <c r="N185" s="1"/>
      <c r="O185" s="63"/>
      <c r="P185" s="63"/>
      <c r="Q185" s="63"/>
      <c r="R185" s="63"/>
      <c r="T185" s="63"/>
    </row>
    <row r="186" spans="7:20" x14ac:dyDescent="0.2">
      <c r="G186" s="1"/>
      <c r="M186" s="63"/>
      <c r="N186" s="1"/>
      <c r="O186" s="63"/>
      <c r="P186" s="63"/>
      <c r="Q186" s="63"/>
      <c r="R186" s="63"/>
      <c r="T186" s="63"/>
    </row>
    <row r="187" spans="7:20" x14ac:dyDescent="0.2">
      <c r="G187" s="1"/>
      <c r="M187" s="63"/>
      <c r="N187" s="1"/>
      <c r="O187" s="63"/>
      <c r="P187" s="63"/>
      <c r="Q187" s="63"/>
      <c r="R187" s="63"/>
      <c r="T187" s="63"/>
    </row>
    <row r="188" spans="7:20" x14ac:dyDescent="0.2">
      <c r="G188" s="1"/>
      <c r="M188" s="63"/>
      <c r="N188" s="1"/>
      <c r="O188" s="63"/>
      <c r="P188" s="63"/>
      <c r="Q188" s="63"/>
      <c r="R188" s="63"/>
      <c r="T188" s="63"/>
    </row>
    <row r="189" spans="7:20" x14ac:dyDescent="0.2">
      <c r="G189" s="1"/>
      <c r="M189" s="63"/>
      <c r="N189" s="1"/>
      <c r="O189" s="63"/>
      <c r="P189" s="63"/>
      <c r="Q189" s="63"/>
      <c r="R189" s="63"/>
      <c r="T189" s="63"/>
    </row>
    <row r="190" spans="7:20" x14ac:dyDescent="0.2">
      <c r="G190" s="1"/>
      <c r="M190" s="63"/>
      <c r="N190" s="1"/>
      <c r="O190" s="63"/>
      <c r="P190" s="63"/>
      <c r="Q190" s="63"/>
      <c r="R190" s="63"/>
      <c r="T190" s="63"/>
    </row>
    <row r="191" spans="7:20" x14ac:dyDescent="0.2">
      <c r="G191" s="1"/>
      <c r="M191" s="63"/>
      <c r="N191" s="1"/>
      <c r="O191" s="63"/>
      <c r="P191" s="63"/>
      <c r="Q191" s="63"/>
      <c r="R191" s="63"/>
      <c r="T191" s="63"/>
    </row>
    <row r="192" spans="7:20" x14ac:dyDescent="0.2">
      <c r="G192" s="1"/>
      <c r="M192" s="63"/>
      <c r="N192" s="1"/>
      <c r="O192" s="63"/>
      <c r="P192" s="63"/>
      <c r="Q192" s="63"/>
      <c r="R192" s="63"/>
      <c r="T192" s="63"/>
    </row>
    <row r="193" spans="7:20" x14ac:dyDescent="0.2">
      <c r="G193" s="1"/>
      <c r="M193" s="63"/>
      <c r="N193" s="1"/>
      <c r="O193" s="63"/>
      <c r="P193" s="63"/>
      <c r="Q193" s="63"/>
      <c r="R193" s="63"/>
      <c r="T193" s="63"/>
    </row>
    <row r="194" spans="7:20" x14ac:dyDescent="0.2">
      <c r="G194" s="1"/>
      <c r="M194" s="63"/>
      <c r="N194" s="1"/>
      <c r="O194" s="63"/>
      <c r="P194" s="63"/>
      <c r="Q194" s="63"/>
      <c r="R194" s="63"/>
      <c r="T194" s="63"/>
    </row>
    <row r="195" spans="7:20" x14ac:dyDescent="0.2">
      <c r="G195" s="1"/>
      <c r="M195" s="63"/>
      <c r="N195" s="1"/>
      <c r="O195" s="63"/>
      <c r="P195" s="63"/>
      <c r="Q195" s="63"/>
      <c r="R195" s="63"/>
      <c r="T195" s="63"/>
    </row>
    <row r="196" spans="7:20" x14ac:dyDescent="0.2">
      <c r="G196" s="1"/>
      <c r="M196" s="63"/>
      <c r="N196" s="1"/>
      <c r="O196" s="63"/>
      <c r="P196" s="63"/>
      <c r="Q196" s="63"/>
      <c r="R196" s="63"/>
      <c r="T196" s="63"/>
    </row>
    <row r="197" spans="7:20" x14ac:dyDescent="0.2">
      <c r="G197" s="1"/>
      <c r="M197" s="63"/>
      <c r="N197" s="1"/>
      <c r="O197" s="63"/>
      <c r="P197" s="63"/>
      <c r="Q197" s="63"/>
      <c r="R197" s="63"/>
      <c r="T197" s="63"/>
    </row>
    <row r="198" spans="7:20" x14ac:dyDescent="0.2">
      <c r="G198" s="1"/>
      <c r="M198" s="63"/>
      <c r="N198" s="1"/>
      <c r="O198" s="63"/>
      <c r="P198" s="63"/>
      <c r="Q198" s="63"/>
      <c r="R198" s="63"/>
      <c r="T198" s="63"/>
    </row>
    <row r="199" spans="7:20" x14ac:dyDescent="0.2">
      <c r="G199" s="1"/>
      <c r="M199" s="63"/>
      <c r="N199" s="1"/>
      <c r="O199" s="63"/>
      <c r="P199" s="63"/>
      <c r="Q199" s="63"/>
      <c r="R199" s="63"/>
      <c r="T199" s="63"/>
    </row>
    <row r="200" spans="7:20" x14ac:dyDescent="0.2">
      <c r="G200" s="1"/>
      <c r="M200" s="63"/>
      <c r="N200" s="1"/>
      <c r="O200" s="63"/>
      <c r="P200" s="63"/>
      <c r="Q200" s="63"/>
      <c r="R200" s="63"/>
      <c r="T200" s="63"/>
    </row>
    <row r="201" spans="7:20" x14ac:dyDescent="0.2">
      <c r="G201" s="1"/>
      <c r="M201" s="63"/>
      <c r="N201" s="1"/>
      <c r="O201" s="63"/>
      <c r="P201" s="63"/>
      <c r="Q201" s="63"/>
      <c r="R201" s="63"/>
      <c r="T201" s="63"/>
    </row>
    <row r="202" spans="7:20" x14ac:dyDescent="0.2">
      <c r="G202" s="1"/>
      <c r="M202" s="63"/>
      <c r="N202" s="1"/>
      <c r="O202" s="63"/>
      <c r="P202" s="63"/>
      <c r="Q202" s="63"/>
      <c r="R202" s="63"/>
      <c r="T202" s="63"/>
    </row>
    <row r="203" spans="7:20" x14ac:dyDescent="0.2">
      <c r="G203" s="1"/>
      <c r="M203" s="63"/>
      <c r="N203" s="1"/>
      <c r="O203" s="63"/>
      <c r="P203" s="63"/>
      <c r="Q203" s="63"/>
      <c r="R203" s="63"/>
      <c r="T203" s="63"/>
    </row>
    <row r="204" spans="7:20" x14ac:dyDescent="0.2">
      <c r="G204" s="1"/>
      <c r="M204" s="63"/>
      <c r="N204" s="1"/>
      <c r="O204" s="63"/>
      <c r="P204" s="63"/>
      <c r="Q204" s="63"/>
      <c r="R204" s="63"/>
      <c r="T204" s="63"/>
    </row>
    <row r="205" spans="7:20" x14ac:dyDescent="0.2">
      <c r="G205" s="1"/>
      <c r="M205" s="63"/>
      <c r="N205" s="1"/>
      <c r="O205" s="63"/>
      <c r="P205" s="63"/>
      <c r="Q205" s="63"/>
      <c r="R205" s="63"/>
      <c r="T205" s="63"/>
    </row>
    <row r="206" spans="7:20" x14ac:dyDescent="0.2">
      <c r="G206" s="1"/>
      <c r="M206" s="63"/>
      <c r="N206" s="1"/>
      <c r="O206" s="63"/>
      <c r="P206" s="63"/>
      <c r="Q206" s="63"/>
      <c r="R206" s="63"/>
      <c r="T206" s="63"/>
    </row>
    <row r="207" spans="7:20" x14ac:dyDescent="0.2">
      <c r="G207" s="1"/>
      <c r="M207" s="63"/>
      <c r="N207" s="1"/>
      <c r="O207" s="63"/>
      <c r="P207" s="63"/>
      <c r="Q207" s="63"/>
      <c r="R207" s="63"/>
      <c r="T207" s="63"/>
    </row>
    <row r="208" spans="7:20" x14ac:dyDescent="0.2">
      <c r="G208" s="1"/>
      <c r="M208" s="63"/>
      <c r="N208" s="1"/>
      <c r="O208" s="63"/>
      <c r="P208" s="63"/>
      <c r="Q208" s="63"/>
      <c r="R208" s="63"/>
      <c r="T208" s="63"/>
    </row>
    <row r="209" spans="7:20" x14ac:dyDescent="0.2">
      <c r="G209" s="1"/>
      <c r="M209" s="63"/>
      <c r="N209" s="1"/>
      <c r="O209" s="63"/>
      <c r="P209" s="63"/>
      <c r="Q209" s="63"/>
      <c r="R209" s="63"/>
      <c r="T209" s="63"/>
    </row>
    <row r="210" spans="7:20" x14ac:dyDescent="0.2">
      <c r="G210" s="1"/>
      <c r="M210" s="63"/>
      <c r="N210" s="1"/>
      <c r="O210" s="63"/>
      <c r="P210" s="63"/>
      <c r="Q210" s="63"/>
      <c r="R210" s="63"/>
      <c r="T210" s="63"/>
    </row>
    <row r="211" spans="7:20" x14ac:dyDescent="0.2">
      <c r="G211" s="1"/>
      <c r="M211" s="63"/>
      <c r="N211" s="1"/>
      <c r="O211" s="63"/>
      <c r="P211" s="63"/>
      <c r="Q211" s="63"/>
      <c r="R211" s="63"/>
      <c r="T211" s="63"/>
    </row>
    <row r="212" spans="7:20" x14ac:dyDescent="0.2">
      <c r="G212" s="1"/>
      <c r="M212" s="63"/>
      <c r="N212" s="1"/>
      <c r="O212" s="63"/>
      <c r="P212" s="63"/>
      <c r="Q212" s="63"/>
      <c r="R212" s="63"/>
      <c r="T212" s="63"/>
    </row>
    <row r="213" spans="7:20" x14ac:dyDescent="0.2">
      <c r="G213" s="1"/>
      <c r="M213" s="63"/>
      <c r="N213" s="1"/>
      <c r="O213" s="63"/>
      <c r="P213" s="63"/>
      <c r="Q213" s="63"/>
      <c r="R213" s="63"/>
      <c r="T213" s="63"/>
    </row>
    <row r="214" spans="7:20" x14ac:dyDescent="0.2">
      <c r="G214" s="1"/>
      <c r="M214" s="63"/>
      <c r="N214" s="1"/>
      <c r="O214" s="63"/>
      <c r="P214" s="63"/>
      <c r="Q214" s="63"/>
      <c r="R214" s="63"/>
      <c r="T214" s="63"/>
    </row>
    <row r="215" spans="7:20" x14ac:dyDescent="0.2">
      <c r="G215" s="1"/>
      <c r="M215" s="63"/>
      <c r="N215" s="1"/>
      <c r="O215" s="63"/>
      <c r="P215" s="63"/>
      <c r="Q215" s="63"/>
      <c r="R215" s="63"/>
      <c r="T215" s="63"/>
    </row>
    <row r="216" spans="7:20" x14ac:dyDescent="0.2">
      <c r="G216" s="1"/>
      <c r="M216" s="63"/>
      <c r="N216" s="1"/>
      <c r="O216" s="63"/>
      <c r="P216" s="63"/>
      <c r="Q216" s="63"/>
      <c r="R216" s="63"/>
      <c r="T216" s="63"/>
    </row>
    <row r="217" spans="7:20" x14ac:dyDescent="0.2">
      <c r="G217" s="1"/>
      <c r="M217" s="63"/>
      <c r="N217" s="1"/>
      <c r="O217" s="63"/>
      <c r="P217" s="63"/>
      <c r="Q217" s="63"/>
      <c r="R217" s="63"/>
      <c r="T217" s="63"/>
    </row>
    <row r="218" spans="7:20" x14ac:dyDescent="0.2">
      <c r="G218" s="1"/>
      <c r="M218" s="63"/>
      <c r="N218" s="1"/>
      <c r="O218" s="63"/>
      <c r="P218" s="63"/>
      <c r="Q218" s="63"/>
      <c r="R218" s="63"/>
      <c r="T218" s="63"/>
    </row>
    <row r="219" spans="7:20" x14ac:dyDescent="0.2">
      <c r="G219" s="1"/>
      <c r="M219" s="63"/>
      <c r="N219" s="1"/>
      <c r="O219" s="63"/>
      <c r="P219" s="63"/>
      <c r="Q219" s="63"/>
      <c r="R219" s="63"/>
      <c r="T219" s="63"/>
    </row>
    <row r="220" spans="7:20" x14ac:dyDescent="0.2">
      <c r="G220" s="1"/>
      <c r="M220" s="63"/>
      <c r="N220" s="1"/>
      <c r="O220" s="63"/>
      <c r="P220" s="63"/>
      <c r="Q220" s="63"/>
      <c r="R220" s="63"/>
      <c r="T220" s="63"/>
    </row>
    <row r="221" spans="7:20" x14ac:dyDescent="0.2">
      <c r="G221" s="1"/>
      <c r="M221" s="63"/>
      <c r="N221" s="1"/>
      <c r="O221" s="63"/>
      <c r="P221" s="63"/>
      <c r="Q221" s="63"/>
      <c r="R221" s="63"/>
      <c r="T221" s="63"/>
    </row>
    <row r="222" spans="7:20" x14ac:dyDescent="0.2">
      <c r="G222" s="1"/>
      <c r="M222" s="63"/>
      <c r="N222" s="1"/>
      <c r="O222" s="63"/>
      <c r="P222" s="63"/>
      <c r="Q222" s="63"/>
      <c r="R222" s="63"/>
      <c r="T222" s="63"/>
    </row>
    <row r="223" spans="7:20" x14ac:dyDescent="0.2">
      <c r="G223" s="1"/>
      <c r="M223" s="63"/>
      <c r="N223" s="1"/>
      <c r="O223" s="63"/>
      <c r="P223" s="63"/>
      <c r="Q223" s="63"/>
      <c r="R223" s="63"/>
      <c r="T223" s="63"/>
    </row>
    <row r="224" spans="7:20" x14ac:dyDescent="0.2">
      <c r="G224" s="1"/>
      <c r="M224" s="63"/>
      <c r="N224" s="1"/>
      <c r="O224" s="63"/>
      <c r="P224" s="63"/>
      <c r="Q224" s="63"/>
      <c r="R224" s="63"/>
      <c r="T224" s="63"/>
    </row>
    <row r="225" spans="7:20" x14ac:dyDescent="0.2">
      <c r="G225" s="1"/>
      <c r="M225" s="63"/>
      <c r="N225" s="1"/>
      <c r="O225" s="63"/>
      <c r="P225" s="63"/>
      <c r="Q225" s="63"/>
      <c r="R225" s="63"/>
      <c r="T225" s="63"/>
    </row>
    <row r="226" spans="7:20" x14ac:dyDescent="0.2">
      <c r="G226" s="1"/>
      <c r="M226" s="63"/>
      <c r="N226" s="1"/>
      <c r="O226" s="63"/>
      <c r="P226" s="63"/>
      <c r="Q226" s="63"/>
      <c r="R226" s="63"/>
      <c r="T226" s="63"/>
    </row>
    <row r="227" spans="7:20" x14ac:dyDescent="0.2">
      <c r="G227" s="1"/>
      <c r="M227" s="63"/>
      <c r="N227" s="1"/>
      <c r="O227" s="63"/>
      <c r="P227" s="63"/>
      <c r="Q227" s="63"/>
      <c r="R227" s="63"/>
      <c r="T227" s="63"/>
    </row>
    <row r="228" spans="7:20" x14ac:dyDescent="0.2">
      <c r="G228" s="1"/>
      <c r="M228" s="63"/>
      <c r="N228" s="1"/>
      <c r="O228" s="63"/>
      <c r="P228" s="63"/>
      <c r="Q228" s="63"/>
      <c r="R228" s="63"/>
      <c r="T228" s="63"/>
    </row>
    <row r="229" spans="7:20" x14ac:dyDescent="0.2">
      <c r="G229" s="1"/>
      <c r="M229" s="63"/>
      <c r="N229" s="1"/>
      <c r="O229" s="63"/>
      <c r="P229" s="63"/>
      <c r="Q229" s="63"/>
      <c r="R229" s="63"/>
      <c r="T229" s="63"/>
    </row>
    <row r="230" spans="7:20" x14ac:dyDescent="0.2">
      <c r="G230" s="1"/>
      <c r="M230" s="63"/>
      <c r="N230" s="1"/>
      <c r="O230" s="63"/>
      <c r="P230" s="63"/>
      <c r="Q230" s="63"/>
      <c r="R230" s="63"/>
      <c r="T230" s="63"/>
    </row>
    <row r="231" spans="7:20" x14ac:dyDescent="0.2">
      <c r="G231" s="1"/>
      <c r="M231" s="63"/>
      <c r="N231" s="1"/>
      <c r="O231" s="63"/>
      <c r="P231" s="63"/>
      <c r="Q231" s="63"/>
      <c r="R231" s="63"/>
      <c r="T231" s="63"/>
    </row>
    <row r="232" spans="7:20" x14ac:dyDescent="0.2">
      <c r="G232" s="1"/>
      <c r="M232" s="63"/>
      <c r="N232" s="1"/>
      <c r="O232" s="63"/>
      <c r="P232" s="63"/>
      <c r="Q232" s="63"/>
      <c r="R232" s="63"/>
      <c r="T232" s="63"/>
    </row>
    <row r="233" spans="7:20" x14ac:dyDescent="0.2">
      <c r="G233" s="1"/>
      <c r="M233" s="63"/>
      <c r="N233" s="1"/>
      <c r="O233" s="63"/>
      <c r="P233" s="63"/>
      <c r="Q233" s="63"/>
      <c r="R233" s="63"/>
      <c r="T233" s="63"/>
    </row>
    <row r="234" spans="7:20" x14ac:dyDescent="0.2">
      <c r="G234" s="1"/>
      <c r="M234" s="63"/>
      <c r="N234" s="1"/>
      <c r="O234" s="63"/>
      <c r="P234" s="63"/>
      <c r="Q234" s="63"/>
      <c r="R234" s="63"/>
      <c r="T234" s="63"/>
    </row>
    <row r="235" spans="7:20" x14ac:dyDescent="0.2">
      <c r="G235" s="1"/>
      <c r="M235" s="63"/>
      <c r="N235" s="1"/>
      <c r="O235" s="63"/>
      <c r="P235" s="63"/>
      <c r="Q235" s="63"/>
      <c r="R235" s="63"/>
      <c r="T235" s="63"/>
    </row>
    <row r="236" spans="7:20" x14ac:dyDescent="0.2">
      <c r="G236" s="1"/>
      <c r="M236" s="63"/>
      <c r="N236" s="1"/>
      <c r="O236" s="63"/>
      <c r="P236" s="63"/>
      <c r="Q236" s="63"/>
      <c r="R236" s="63"/>
      <c r="T236" s="63"/>
    </row>
    <row r="237" spans="7:20" x14ac:dyDescent="0.2">
      <c r="G237" s="1"/>
      <c r="M237" s="63"/>
      <c r="N237" s="1"/>
      <c r="O237" s="63"/>
      <c r="P237" s="63"/>
      <c r="Q237" s="63"/>
      <c r="R237" s="63"/>
      <c r="T237" s="63"/>
    </row>
    <row r="238" spans="7:20" x14ac:dyDescent="0.2">
      <c r="G238" s="1"/>
      <c r="M238" s="63"/>
      <c r="N238" s="1"/>
      <c r="O238" s="63"/>
      <c r="P238" s="63"/>
      <c r="Q238" s="63"/>
      <c r="R238" s="63"/>
      <c r="T238" s="63"/>
    </row>
    <row r="239" spans="7:20" x14ac:dyDescent="0.2">
      <c r="G239" s="1"/>
      <c r="M239" s="63"/>
      <c r="N239" s="1"/>
      <c r="O239" s="63"/>
      <c r="P239" s="63"/>
      <c r="Q239" s="63"/>
      <c r="R239" s="63"/>
      <c r="T239" s="63"/>
    </row>
    <row r="240" spans="7:20" x14ac:dyDescent="0.2">
      <c r="G240" s="1"/>
      <c r="M240" s="63"/>
      <c r="N240" s="1"/>
      <c r="O240" s="63"/>
      <c r="P240" s="63"/>
      <c r="Q240" s="63"/>
      <c r="R240" s="63"/>
      <c r="T240" s="63"/>
    </row>
    <row r="241" spans="7:20" x14ac:dyDescent="0.2">
      <c r="G241" s="1"/>
      <c r="M241" s="63"/>
      <c r="N241" s="1"/>
      <c r="O241" s="63"/>
      <c r="P241" s="63"/>
      <c r="Q241" s="63"/>
      <c r="R241" s="63"/>
      <c r="T241" s="63"/>
    </row>
    <row r="242" spans="7:20" x14ac:dyDescent="0.2">
      <c r="G242" s="1"/>
      <c r="M242" s="63"/>
      <c r="N242" s="1"/>
      <c r="O242" s="63"/>
      <c r="P242" s="63"/>
      <c r="Q242" s="63"/>
      <c r="R242" s="63"/>
      <c r="T242" s="63"/>
    </row>
    <row r="243" spans="7:20" x14ac:dyDescent="0.2">
      <c r="G243" s="1"/>
      <c r="M243" s="63"/>
      <c r="N243" s="1"/>
      <c r="O243" s="63"/>
      <c r="P243" s="63"/>
      <c r="Q243" s="63"/>
      <c r="R243" s="63"/>
      <c r="T243" s="63"/>
    </row>
    <row r="244" spans="7:20" x14ac:dyDescent="0.2">
      <c r="G244" s="1"/>
      <c r="M244" s="63"/>
      <c r="N244" s="1"/>
      <c r="O244" s="63"/>
      <c r="P244" s="63"/>
      <c r="Q244" s="63"/>
      <c r="R244" s="63"/>
      <c r="T244" s="63"/>
    </row>
    <row r="245" spans="7:20" x14ac:dyDescent="0.2">
      <c r="G245" s="1"/>
      <c r="M245" s="63"/>
      <c r="N245" s="1"/>
      <c r="O245" s="63"/>
      <c r="P245" s="63"/>
      <c r="Q245" s="63"/>
      <c r="R245" s="63"/>
      <c r="T245" s="63"/>
    </row>
    <row r="246" spans="7:20" x14ac:dyDescent="0.2">
      <c r="G246" s="1"/>
      <c r="M246" s="63"/>
      <c r="N246" s="1"/>
      <c r="O246" s="63"/>
      <c r="P246" s="63"/>
      <c r="Q246" s="63"/>
      <c r="R246" s="63"/>
      <c r="T246" s="63"/>
    </row>
    <row r="247" spans="7:20" x14ac:dyDescent="0.2">
      <c r="G247" s="1"/>
      <c r="M247" s="63"/>
      <c r="N247" s="1"/>
      <c r="O247" s="63"/>
      <c r="P247" s="63"/>
      <c r="Q247" s="63"/>
      <c r="R247" s="63"/>
      <c r="T247" s="63"/>
    </row>
    <row r="248" spans="7:20" x14ac:dyDescent="0.2">
      <c r="G248" s="1"/>
      <c r="M248" s="63"/>
      <c r="N248" s="1"/>
      <c r="O248" s="63"/>
      <c r="P248" s="63"/>
      <c r="Q248" s="63"/>
      <c r="R248" s="63"/>
      <c r="T248" s="63"/>
    </row>
    <row r="249" spans="7:20" x14ac:dyDescent="0.2">
      <c r="G249" s="1"/>
      <c r="M249" s="63"/>
      <c r="N249" s="1"/>
      <c r="O249" s="63"/>
      <c r="P249" s="63"/>
      <c r="Q249" s="63"/>
      <c r="R249" s="63"/>
      <c r="T249" s="63"/>
    </row>
    <row r="250" spans="7:20" x14ac:dyDescent="0.2">
      <c r="G250" s="1"/>
      <c r="M250" s="63"/>
      <c r="N250" s="1"/>
      <c r="O250" s="63"/>
      <c r="P250" s="63"/>
      <c r="Q250" s="63"/>
      <c r="R250" s="63"/>
      <c r="T250" s="63"/>
    </row>
    <row r="251" spans="7:20" x14ac:dyDescent="0.2">
      <c r="G251" s="1"/>
      <c r="M251" s="63"/>
      <c r="N251" s="1"/>
      <c r="O251" s="63"/>
      <c r="P251" s="63"/>
      <c r="Q251" s="63"/>
      <c r="R251" s="63"/>
      <c r="T251" s="63"/>
    </row>
    <row r="252" spans="7:20" x14ac:dyDescent="0.2">
      <c r="G252" s="1"/>
      <c r="M252" s="63"/>
      <c r="N252" s="1"/>
      <c r="O252" s="63"/>
      <c r="P252" s="63"/>
      <c r="Q252" s="63"/>
      <c r="R252" s="63"/>
      <c r="T252" s="63"/>
    </row>
    <row r="253" spans="7:20" x14ac:dyDescent="0.2">
      <c r="G253" s="1"/>
      <c r="M253" s="63"/>
      <c r="N253" s="1"/>
      <c r="O253" s="63"/>
      <c r="P253" s="63"/>
      <c r="Q253" s="63"/>
      <c r="R253" s="63"/>
      <c r="T253" s="63"/>
    </row>
    <row r="254" spans="7:20" x14ac:dyDescent="0.2">
      <c r="G254" s="1"/>
      <c r="M254" s="63"/>
      <c r="N254" s="1"/>
      <c r="O254" s="63"/>
      <c r="P254" s="63"/>
      <c r="Q254" s="63"/>
      <c r="R254" s="63"/>
      <c r="T254" s="63"/>
    </row>
    <row r="255" spans="7:20" x14ac:dyDescent="0.2">
      <c r="G255" s="1"/>
      <c r="M255" s="63"/>
      <c r="N255" s="1"/>
      <c r="O255" s="63"/>
      <c r="P255" s="63"/>
      <c r="Q255" s="63"/>
      <c r="R255" s="63"/>
      <c r="T255" s="63"/>
    </row>
    <row r="256" spans="7:20" x14ac:dyDescent="0.2">
      <c r="G256" s="1"/>
      <c r="M256" s="63"/>
      <c r="N256" s="1"/>
      <c r="O256" s="63"/>
      <c r="P256" s="63"/>
      <c r="Q256" s="63"/>
      <c r="R256" s="63"/>
      <c r="T256" s="63"/>
    </row>
    <row r="257" spans="7:20" x14ac:dyDescent="0.2">
      <c r="G257" s="1"/>
      <c r="M257" s="63"/>
      <c r="N257" s="1"/>
      <c r="O257" s="63"/>
      <c r="P257" s="63"/>
      <c r="Q257" s="63"/>
      <c r="R257" s="63"/>
      <c r="T257" s="63"/>
    </row>
    <row r="258" spans="7:20" x14ac:dyDescent="0.2">
      <c r="G258" s="1"/>
      <c r="M258" s="63"/>
      <c r="N258" s="1"/>
      <c r="O258" s="63"/>
      <c r="P258" s="63"/>
      <c r="Q258" s="63"/>
      <c r="R258" s="63"/>
      <c r="T258" s="63"/>
    </row>
    <row r="259" spans="7:20" x14ac:dyDescent="0.2">
      <c r="G259" s="1"/>
      <c r="M259" s="63"/>
      <c r="N259" s="1"/>
      <c r="O259" s="63"/>
      <c r="P259" s="63"/>
      <c r="Q259" s="63"/>
      <c r="R259" s="63"/>
      <c r="T259" s="63"/>
    </row>
    <row r="260" spans="7:20" x14ac:dyDescent="0.2">
      <c r="G260" s="1"/>
      <c r="M260" s="63"/>
      <c r="N260" s="1"/>
      <c r="O260" s="63"/>
      <c r="P260" s="63"/>
      <c r="Q260" s="63"/>
      <c r="R260" s="63"/>
      <c r="T260" s="63"/>
    </row>
    <row r="261" spans="7:20" x14ac:dyDescent="0.2">
      <c r="G261" s="1"/>
      <c r="M261" s="63"/>
      <c r="N261" s="1"/>
      <c r="O261" s="63"/>
      <c r="P261" s="63"/>
      <c r="Q261" s="63"/>
      <c r="R261" s="63"/>
      <c r="T261" s="63"/>
    </row>
    <row r="262" spans="7:20" x14ac:dyDescent="0.2">
      <c r="G262" s="1"/>
      <c r="M262" s="63"/>
      <c r="N262" s="1"/>
      <c r="O262" s="63"/>
      <c r="P262" s="63"/>
      <c r="Q262" s="63"/>
      <c r="R262" s="63"/>
      <c r="T262" s="63"/>
    </row>
    <row r="263" spans="7:20" x14ac:dyDescent="0.2">
      <c r="G263" s="1"/>
      <c r="M263" s="63"/>
      <c r="N263" s="1"/>
      <c r="O263" s="63"/>
      <c r="P263" s="63"/>
      <c r="Q263" s="63"/>
      <c r="R263" s="63"/>
      <c r="T263" s="63"/>
    </row>
  </sheetData>
  <mergeCells count="1">
    <mergeCell ref="AJ2:AN2"/>
  </mergeCells>
  <pageMargins left="0.7" right="0.7" top="0.75" bottom="0.75" header="0.3" footer="0.3"/>
  <pageSetup paperSize="9" orientation="portrait" horizontalDpi="300" verticalDpi="300" r:id="rId1"/>
  <ignoredErrors>
    <ignoredError sqref="G40 G76" formulaRange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83B1A-7AA5-4D41-A0D9-1905C706BAA3}">
  <dimension ref="A1:BH283"/>
  <sheetViews>
    <sheetView zoomScaleNormal="100" workbookViewId="0">
      <selection activeCell="A121" sqref="A121"/>
    </sheetView>
  </sheetViews>
  <sheetFormatPr defaultColWidth="9.140625" defaultRowHeight="12" x14ac:dyDescent="0.2"/>
  <cols>
    <col min="1" max="1" width="51.85546875" style="1" customWidth="1"/>
    <col min="2" max="2" width="16.85546875" style="1" hidden="1" customWidth="1"/>
    <col min="3" max="5" width="16.85546875" style="70" hidden="1" customWidth="1"/>
    <col min="6" max="6" width="21.5703125" style="76" bestFit="1" customWidth="1"/>
    <col min="7" max="8" width="10.140625" style="63" hidden="1" customWidth="1"/>
    <col min="9" max="10" width="10.140625" style="1" hidden="1" customWidth="1"/>
    <col min="11" max="11" width="10.140625" style="1" customWidth="1"/>
    <col min="12" max="13" width="10.140625" style="27" customWidth="1"/>
    <col min="14" max="15" width="12.42578125" style="63" customWidth="1"/>
    <col min="16" max="16" width="16.28515625" style="27" customWidth="1"/>
    <col min="17" max="18" width="10.140625" style="1" customWidth="1"/>
    <col min="19" max="25" width="12.140625" style="1" customWidth="1"/>
    <col min="26" max="26" width="16.42578125" style="1" customWidth="1"/>
    <col min="27" max="31" width="12.140625" style="1" customWidth="1"/>
    <col min="32" max="16384" width="9.140625" style="1"/>
  </cols>
  <sheetData>
    <row r="1" spans="1:60" s="27" customFormat="1" ht="15" customHeight="1" x14ac:dyDescent="0.2">
      <c r="A1" s="244" t="s">
        <v>132</v>
      </c>
      <c r="B1" s="244"/>
      <c r="C1" s="369"/>
      <c r="D1" s="369"/>
      <c r="E1" s="369"/>
      <c r="F1" s="370" t="s">
        <v>133</v>
      </c>
      <c r="G1" s="249" t="s">
        <v>133</v>
      </c>
      <c r="H1" s="249" t="s">
        <v>134</v>
      </c>
      <c r="I1" s="249" t="s">
        <v>133</v>
      </c>
      <c r="J1" s="249" t="s">
        <v>134</v>
      </c>
      <c r="K1" s="249" t="s">
        <v>133</v>
      </c>
      <c r="L1" s="371" t="s">
        <v>134</v>
      </c>
      <c r="M1" s="371" t="s">
        <v>133</v>
      </c>
      <c r="N1" s="371" t="s">
        <v>134</v>
      </c>
      <c r="O1" s="371"/>
      <c r="P1" s="371"/>
      <c r="Q1" s="371" t="s">
        <v>133</v>
      </c>
      <c r="R1" s="371" t="s">
        <v>133</v>
      </c>
      <c r="S1" s="249" t="s">
        <v>133</v>
      </c>
      <c r="T1" s="249" t="s">
        <v>133</v>
      </c>
      <c r="U1" s="249" t="s">
        <v>133</v>
      </c>
      <c r="V1" s="249" t="s">
        <v>133</v>
      </c>
      <c r="W1" s="249" t="s">
        <v>133</v>
      </c>
      <c r="X1" s="249" t="s">
        <v>133</v>
      </c>
      <c r="Y1" s="249" t="s">
        <v>133</v>
      </c>
      <c r="Z1" s="425" t="s">
        <v>135</v>
      </c>
      <c r="AA1" s="426"/>
      <c r="AB1" s="426"/>
      <c r="AC1" s="426"/>
      <c r="AD1" s="427"/>
      <c r="AE1" s="342" t="s">
        <v>133</v>
      </c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</row>
    <row r="2" spans="1:60" s="27" customFormat="1" ht="39" customHeight="1" x14ac:dyDescent="0.2">
      <c r="A2" s="244"/>
      <c r="B2" s="244" t="s">
        <v>2</v>
      </c>
      <c r="C2" s="372" t="s">
        <v>258</v>
      </c>
      <c r="D2" s="249" t="s">
        <v>137</v>
      </c>
      <c r="E2" s="249" t="s">
        <v>138</v>
      </c>
      <c r="F2" s="373" t="s">
        <v>3</v>
      </c>
      <c r="G2" s="249" t="s">
        <v>140</v>
      </c>
      <c r="H2" s="249" t="s">
        <v>141</v>
      </c>
      <c r="I2" s="249" t="s">
        <v>142</v>
      </c>
      <c r="J2" s="249" t="s">
        <v>143</v>
      </c>
      <c r="K2" s="249" t="s">
        <v>144</v>
      </c>
      <c r="L2" s="371" t="s">
        <v>145</v>
      </c>
      <c r="M2" s="371" t="s">
        <v>146</v>
      </c>
      <c r="N2" s="371" t="s">
        <v>259</v>
      </c>
      <c r="O2" s="371" t="s">
        <v>260</v>
      </c>
      <c r="P2" s="371" t="s">
        <v>261</v>
      </c>
      <c r="Q2" s="371" t="s">
        <v>153</v>
      </c>
      <c r="R2" s="371" t="s">
        <v>154</v>
      </c>
      <c r="S2" s="249">
        <v>2025</v>
      </c>
      <c r="T2" s="249">
        <v>2026</v>
      </c>
      <c r="U2" s="249">
        <v>2027</v>
      </c>
      <c r="V2" s="249">
        <v>2028</v>
      </c>
      <c r="W2" s="249">
        <v>2029</v>
      </c>
      <c r="X2" s="249">
        <v>2030</v>
      </c>
      <c r="Y2" s="249">
        <v>2031</v>
      </c>
      <c r="Z2" s="342">
        <v>2022</v>
      </c>
      <c r="AA2" s="342">
        <v>2023</v>
      </c>
      <c r="AB2" s="342">
        <v>2024</v>
      </c>
      <c r="AC2" s="342">
        <v>2025</v>
      </c>
      <c r="AD2" s="342">
        <v>2026</v>
      </c>
      <c r="AE2" s="342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</row>
    <row r="3" spans="1:60" ht="12.75" customHeight="1" x14ac:dyDescent="0.2">
      <c r="A3" s="151"/>
      <c r="B3" s="374"/>
      <c r="C3" s="375"/>
      <c r="D3" s="375"/>
      <c r="E3" s="375"/>
      <c r="F3" s="376"/>
      <c r="G3" s="375"/>
      <c r="H3" s="375"/>
      <c r="I3" s="375"/>
      <c r="J3" s="375"/>
      <c r="K3" s="375"/>
      <c r="L3" s="257"/>
      <c r="M3" s="257"/>
      <c r="N3" s="257"/>
      <c r="O3" s="257"/>
      <c r="P3" s="257"/>
      <c r="Q3" s="257"/>
      <c r="R3" s="257"/>
      <c r="S3" s="375"/>
      <c r="T3" s="375"/>
      <c r="U3" s="375"/>
      <c r="V3" s="375"/>
      <c r="W3" s="375"/>
      <c r="X3" s="375"/>
      <c r="Y3" s="375"/>
      <c r="Z3" s="375"/>
      <c r="AA3" s="377"/>
      <c r="AB3" s="377"/>
      <c r="AC3" s="377"/>
      <c r="AD3" s="377"/>
      <c r="AE3" s="377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</row>
    <row r="4" spans="1:60" s="27" customFormat="1" ht="12.75" customHeight="1" x14ac:dyDescent="0.2">
      <c r="A4" s="378" t="s">
        <v>5</v>
      </c>
      <c r="B4" s="85"/>
      <c r="C4" s="64"/>
      <c r="D4" s="64"/>
      <c r="E4" s="64"/>
      <c r="F4" s="379"/>
      <c r="G4" s="64"/>
      <c r="H4" s="380"/>
      <c r="I4" s="64"/>
      <c r="J4" s="380"/>
      <c r="K4" s="380"/>
      <c r="L4" s="72"/>
      <c r="M4" s="72"/>
      <c r="N4" s="72"/>
      <c r="O4" s="72"/>
      <c r="P4" s="72"/>
      <c r="Q4" s="381"/>
      <c r="R4" s="381"/>
      <c r="S4" s="64"/>
      <c r="T4" s="64"/>
      <c r="U4" s="64"/>
      <c r="V4" s="64"/>
      <c r="W4" s="64"/>
      <c r="X4" s="64"/>
      <c r="Y4" s="64"/>
      <c r="Z4" s="64"/>
      <c r="AA4" s="382"/>
      <c r="AB4" s="382"/>
      <c r="AC4" s="382"/>
      <c r="AD4" s="382"/>
      <c r="AE4" s="382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</row>
    <row r="5" spans="1:60" ht="12.75" hidden="1" customHeight="1" x14ac:dyDescent="0.2">
      <c r="A5" s="135" t="s">
        <v>8</v>
      </c>
      <c r="B5" s="135" t="s">
        <v>9</v>
      </c>
      <c r="C5" s="383">
        <v>8106</v>
      </c>
      <c r="D5" s="383">
        <v>8400</v>
      </c>
      <c r="E5" s="383">
        <v>7110</v>
      </c>
      <c r="F5" s="384">
        <f>SUM(H5,J5,L5:S5)</f>
        <v>-100000</v>
      </c>
      <c r="G5" s="159">
        <v>-200000</v>
      </c>
      <c r="H5" s="187">
        <v>0</v>
      </c>
      <c r="I5" s="159">
        <v>-100000</v>
      </c>
      <c r="J5" s="159">
        <v>-100000</v>
      </c>
      <c r="K5" s="159"/>
      <c r="L5" s="133"/>
      <c r="M5" s="133"/>
      <c r="N5" s="133"/>
      <c r="O5" s="136"/>
      <c r="P5" s="133"/>
      <c r="Q5" s="133"/>
      <c r="R5" s="133"/>
      <c r="S5" s="159"/>
      <c r="T5" s="159"/>
      <c r="U5" s="159"/>
      <c r="V5" s="159"/>
      <c r="W5" s="159"/>
      <c r="X5" s="159"/>
      <c r="Y5" s="159"/>
      <c r="Z5" s="159" t="s">
        <v>158</v>
      </c>
      <c r="AA5" s="159"/>
      <c r="AB5" s="159"/>
      <c r="AC5" s="159"/>
      <c r="AD5" s="159"/>
      <c r="AE5" s="159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</row>
    <row r="6" spans="1:60" ht="12.75" hidden="1" customHeight="1" x14ac:dyDescent="0.2">
      <c r="A6" s="385" t="s">
        <v>159</v>
      </c>
      <c r="B6" s="385"/>
      <c r="C6" s="386"/>
      <c r="D6" s="386"/>
      <c r="E6" s="386"/>
      <c r="F6" s="384">
        <f>SUM(H6,J6,L6:S6)</f>
        <v>0</v>
      </c>
      <c r="G6" s="159">
        <v>-10000</v>
      </c>
      <c r="H6" s="187">
        <v>0</v>
      </c>
      <c r="I6" s="159"/>
      <c r="J6" s="159"/>
      <c r="K6" s="159"/>
      <c r="L6" s="77"/>
      <c r="M6" s="77"/>
      <c r="N6" s="77"/>
      <c r="O6" s="98"/>
      <c r="P6" s="77"/>
      <c r="Q6" s="133"/>
      <c r="R6" s="133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</row>
    <row r="7" spans="1:60" s="57" customFormat="1" ht="12.75" customHeight="1" x14ac:dyDescent="0.2">
      <c r="A7" s="105" t="s">
        <v>16</v>
      </c>
      <c r="B7" s="387"/>
      <c r="C7" s="388"/>
      <c r="D7" s="388"/>
      <c r="E7" s="388"/>
      <c r="F7" s="389">
        <f>SUM(F5:F6)</f>
        <v>-100000</v>
      </c>
      <c r="G7" s="390">
        <f>SUM(G5:G6)</f>
        <v>-210000</v>
      </c>
      <c r="H7" s="390">
        <f t="shared" ref="H7:AE7" si="0">SUM(H5:H6)</f>
        <v>0</v>
      </c>
      <c r="I7" s="390">
        <f t="shared" si="0"/>
        <v>-100000</v>
      </c>
      <c r="J7" s="390">
        <f t="shared" si="0"/>
        <v>-100000</v>
      </c>
      <c r="K7" s="390">
        <f t="shared" si="0"/>
        <v>0</v>
      </c>
      <c r="L7" s="271">
        <f>SUM(L5:L6)</f>
        <v>0</v>
      </c>
      <c r="M7" s="271">
        <f t="shared" si="0"/>
        <v>0</v>
      </c>
      <c r="N7" s="271">
        <f>SUM(N5:N6)</f>
        <v>0</v>
      </c>
      <c r="O7" s="264"/>
      <c r="P7" s="271"/>
      <c r="Q7" s="271">
        <f t="shared" si="0"/>
        <v>0</v>
      </c>
      <c r="R7" s="271">
        <f t="shared" si="0"/>
        <v>0</v>
      </c>
      <c r="S7" s="271">
        <f t="shared" si="0"/>
        <v>0</v>
      </c>
      <c r="T7" s="271">
        <f t="shared" si="0"/>
        <v>0</v>
      </c>
      <c r="U7" s="271">
        <f t="shared" si="0"/>
        <v>0</v>
      </c>
      <c r="V7" s="271">
        <f t="shared" si="0"/>
        <v>0</v>
      </c>
      <c r="W7" s="271">
        <f t="shared" si="0"/>
        <v>0</v>
      </c>
      <c r="X7" s="271">
        <f t="shared" si="0"/>
        <v>0</v>
      </c>
      <c r="Y7" s="271">
        <f t="shared" si="0"/>
        <v>0</v>
      </c>
      <c r="Z7" s="271">
        <f t="shared" si="0"/>
        <v>0</v>
      </c>
      <c r="AA7" s="271">
        <f t="shared" si="0"/>
        <v>0</v>
      </c>
      <c r="AB7" s="271">
        <f t="shared" si="0"/>
        <v>0</v>
      </c>
      <c r="AC7" s="271">
        <f t="shared" si="0"/>
        <v>0</v>
      </c>
      <c r="AD7" s="271">
        <f t="shared" si="0"/>
        <v>0</v>
      </c>
      <c r="AE7" s="271">
        <f t="shared" si="0"/>
        <v>0</v>
      </c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</row>
    <row r="8" spans="1:60" s="7" customFormat="1" ht="12.75" customHeight="1" x14ac:dyDescent="0.2">
      <c r="A8" s="151"/>
      <c r="B8" s="374"/>
      <c r="C8" s="375"/>
      <c r="D8" s="375"/>
      <c r="E8" s="375"/>
      <c r="F8" s="376"/>
      <c r="G8" s="238"/>
      <c r="H8" s="146"/>
      <c r="I8" s="238"/>
      <c r="J8" s="146"/>
      <c r="K8" s="146"/>
      <c r="L8" s="276"/>
      <c r="M8" s="276"/>
      <c r="N8" s="276"/>
      <c r="O8" s="257"/>
      <c r="P8" s="276"/>
      <c r="Q8" s="276"/>
      <c r="R8" s="276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</row>
    <row r="9" spans="1:60" s="57" customFormat="1" ht="12.75" customHeight="1" x14ac:dyDescent="0.2">
      <c r="A9" s="387" t="s">
        <v>121</v>
      </c>
      <c r="B9" s="391"/>
      <c r="C9" s="392"/>
      <c r="D9" s="392"/>
      <c r="E9" s="392"/>
      <c r="F9" s="393"/>
      <c r="G9" s="394"/>
      <c r="H9" s="390"/>
      <c r="I9" s="394"/>
      <c r="J9" s="390"/>
      <c r="K9" s="390"/>
      <c r="L9" s="72"/>
      <c r="M9" s="72"/>
      <c r="N9" s="72"/>
      <c r="O9" s="72"/>
      <c r="P9" s="72"/>
      <c r="Q9" s="273"/>
      <c r="R9" s="273"/>
      <c r="S9" s="394"/>
      <c r="T9" s="394"/>
      <c r="U9" s="394"/>
      <c r="V9" s="394"/>
      <c r="W9" s="394"/>
      <c r="X9" s="394"/>
      <c r="Y9" s="394"/>
      <c r="Z9" s="394"/>
      <c r="AA9" s="394"/>
      <c r="AB9" s="394"/>
      <c r="AC9" s="394"/>
      <c r="AD9" s="394"/>
      <c r="AE9" s="394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</row>
    <row r="10" spans="1:60" s="7" customFormat="1" ht="12.75" hidden="1" customHeight="1" x14ac:dyDescent="0.2">
      <c r="A10" s="135" t="s">
        <v>122</v>
      </c>
      <c r="B10" s="135" t="s">
        <v>55</v>
      </c>
      <c r="C10" s="383">
        <v>8143</v>
      </c>
      <c r="D10" s="383">
        <v>8440</v>
      </c>
      <c r="E10" s="383"/>
      <c r="F10" s="384">
        <f t="shared" ref="F10:F15" si="1">SUM(H10,J10,L10:S10)</f>
        <v>-96784</v>
      </c>
      <c r="G10" s="159">
        <v>-60490</v>
      </c>
      <c r="H10" s="159">
        <v>-60490</v>
      </c>
      <c r="I10" s="159">
        <v>-36294</v>
      </c>
      <c r="J10" s="159">
        <v>-36294</v>
      </c>
      <c r="K10" s="159"/>
      <c r="L10" s="275"/>
      <c r="M10" s="275"/>
      <c r="N10" s="275"/>
      <c r="O10" s="254"/>
      <c r="P10" s="275"/>
      <c r="Q10" s="277"/>
      <c r="R10" s="277"/>
      <c r="S10" s="159"/>
      <c r="T10" s="159"/>
      <c r="U10" s="159"/>
      <c r="V10" s="159"/>
      <c r="W10" s="159"/>
      <c r="X10" s="159"/>
      <c r="Y10" s="159"/>
      <c r="Z10" s="171" t="s">
        <v>160</v>
      </c>
      <c r="AA10" s="171"/>
      <c r="AB10" s="171"/>
      <c r="AC10" s="171"/>
      <c r="AD10" s="171"/>
      <c r="AE10" s="171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</row>
    <row r="11" spans="1:60" s="7" customFormat="1" ht="12.75" hidden="1" customHeight="1" x14ac:dyDescent="0.2">
      <c r="A11" s="135" t="s">
        <v>161</v>
      </c>
      <c r="B11" s="135"/>
      <c r="C11" s="383"/>
      <c r="D11" s="383"/>
      <c r="E11" s="383"/>
      <c r="F11" s="384">
        <f t="shared" si="1"/>
        <v>-21</v>
      </c>
      <c r="G11" s="159"/>
      <c r="H11" s="159"/>
      <c r="I11" s="159">
        <v>0</v>
      </c>
      <c r="J11" s="159">
        <v>-21</v>
      </c>
      <c r="K11" s="159"/>
      <c r="L11" s="275"/>
      <c r="M11" s="275"/>
      <c r="N11" s="275"/>
      <c r="O11" s="254"/>
      <c r="P11" s="275"/>
      <c r="Q11" s="277"/>
      <c r="R11" s="277"/>
      <c r="S11" s="159"/>
      <c r="T11" s="159"/>
      <c r="U11" s="159"/>
      <c r="V11" s="159"/>
      <c r="W11" s="159"/>
      <c r="X11" s="159"/>
      <c r="Y11" s="159"/>
      <c r="Z11" s="171"/>
      <c r="AA11" s="171"/>
      <c r="AB11" s="171"/>
      <c r="AC11" s="171"/>
      <c r="AD11" s="171"/>
      <c r="AE11" s="171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</row>
    <row r="12" spans="1:60" s="7" customFormat="1" ht="12.75" hidden="1" customHeight="1" x14ac:dyDescent="0.2">
      <c r="A12" s="135" t="s">
        <v>162</v>
      </c>
      <c r="B12" s="135"/>
      <c r="C12" s="383"/>
      <c r="D12" s="383"/>
      <c r="E12" s="383"/>
      <c r="F12" s="384">
        <f t="shared" si="1"/>
        <v>-3885</v>
      </c>
      <c r="G12" s="159">
        <v>0</v>
      </c>
      <c r="H12" s="159">
        <v>-3885</v>
      </c>
      <c r="I12" s="159"/>
      <c r="J12" s="159"/>
      <c r="K12" s="159"/>
      <c r="L12" s="275"/>
      <c r="M12" s="275"/>
      <c r="N12" s="275"/>
      <c r="O12" s="254"/>
      <c r="P12" s="275"/>
      <c r="Q12" s="277"/>
      <c r="R12" s="277"/>
      <c r="S12" s="159"/>
      <c r="T12" s="159"/>
      <c r="U12" s="159"/>
      <c r="V12" s="159"/>
      <c r="W12" s="159"/>
      <c r="X12" s="159"/>
      <c r="Y12" s="159"/>
      <c r="Z12" s="171" t="s">
        <v>160</v>
      </c>
      <c r="AA12" s="171"/>
      <c r="AB12" s="171"/>
      <c r="AC12" s="171"/>
      <c r="AD12" s="171"/>
      <c r="AE12" s="171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</row>
    <row r="13" spans="1:60" s="7" customFormat="1" ht="12.75" hidden="1" customHeight="1" x14ac:dyDescent="0.2">
      <c r="A13" s="135" t="s">
        <v>163</v>
      </c>
      <c r="B13" s="135"/>
      <c r="C13" s="383"/>
      <c r="D13" s="383"/>
      <c r="E13" s="383"/>
      <c r="F13" s="384">
        <f t="shared" si="1"/>
        <v>-4500</v>
      </c>
      <c r="G13" s="159">
        <v>0</v>
      </c>
      <c r="H13" s="159">
        <v>-4500</v>
      </c>
      <c r="I13" s="159"/>
      <c r="J13" s="159"/>
      <c r="K13" s="159"/>
      <c r="L13" s="275"/>
      <c r="M13" s="275"/>
      <c r="N13" s="275"/>
      <c r="O13" s="254"/>
      <c r="P13" s="275"/>
      <c r="Q13" s="277"/>
      <c r="R13" s="277"/>
      <c r="S13" s="159"/>
      <c r="T13" s="159"/>
      <c r="U13" s="159"/>
      <c r="V13" s="159"/>
      <c r="W13" s="159"/>
      <c r="X13" s="159"/>
      <c r="Y13" s="159"/>
      <c r="Z13" s="171" t="s">
        <v>160</v>
      </c>
      <c r="AA13" s="171"/>
      <c r="AB13" s="171"/>
      <c r="AC13" s="171"/>
      <c r="AD13" s="171"/>
      <c r="AE13" s="171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</row>
    <row r="14" spans="1:60" s="7" customFormat="1" ht="12.75" hidden="1" customHeight="1" x14ac:dyDescent="0.2">
      <c r="A14" s="135" t="s">
        <v>164</v>
      </c>
      <c r="B14" s="135"/>
      <c r="C14" s="383"/>
      <c r="D14" s="383"/>
      <c r="E14" s="383"/>
      <c r="F14" s="384">
        <f t="shared" si="1"/>
        <v>-11801</v>
      </c>
      <c r="G14" s="159">
        <v>0</v>
      </c>
      <c r="H14" s="159">
        <v>-11801</v>
      </c>
      <c r="I14" s="159"/>
      <c r="J14" s="159"/>
      <c r="K14" s="159"/>
      <c r="L14" s="275"/>
      <c r="M14" s="275"/>
      <c r="N14" s="275"/>
      <c r="O14" s="254"/>
      <c r="P14" s="275"/>
      <c r="Q14" s="277"/>
      <c r="R14" s="277"/>
      <c r="S14" s="159"/>
      <c r="T14" s="159"/>
      <c r="U14" s="159"/>
      <c r="V14" s="159"/>
      <c r="W14" s="159"/>
      <c r="X14" s="159"/>
      <c r="Y14" s="159"/>
      <c r="Z14" s="171" t="s">
        <v>160</v>
      </c>
      <c r="AA14" s="171"/>
      <c r="AB14" s="171"/>
      <c r="AC14" s="171"/>
      <c r="AD14" s="171"/>
      <c r="AE14" s="171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</row>
    <row r="15" spans="1:60" s="7" customFormat="1" ht="12.75" customHeight="1" x14ac:dyDescent="0.2">
      <c r="A15" s="135" t="s">
        <v>165</v>
      </c>
      <c r="B15" s="135"/>
      <c r="C15" s="383"/>
      <c r="D15" s="383"/>
      <c r="E15" s="383"/>
      <c r="F15" s="384">
        <f t="shared" si="1"/>
        <v>46924.43</v>
      </c>
      <c r="G15" s="159"/>
      <c r="H15" s="159"/>
      <c r="I15" s="159"/>
      <c r="J15" s="159"/>
      <c r="K15" s="159">
        <v>0</v>
      </c>
      <c r="L15" s="275">
        <v>46924.43</v>
      </c>
      <c r="M15" s="275"/>
      <c r="N15" s="275">
        <v>0</v>
      </c>
      <c r="O15" s="254"/>
      <c r="P15" s="275"/>
      <c r="Q15" s="277"/>
      <c r="R15" s="277"/>
      <c r="S15" s="159"/>
      <c r="T15" s="159"/>
      <c r="U15" s="159"/>
      <c r="V15" s="159"/>
      <c r="W15" s="159"/>
      <c r="X15" s="159"/>
      <c r="Y15" s="159"/>
      <c r="Z15" s="171"/>
      <c r="AA15" s="171"/>
      <c r="AB15" s="171"/>
      <c r="AC15" s="171"/>
      <c r="AD15" s="171"/>
      <c r="AE15" s="171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</row>
    <row r="16" spans="1:60" s="57" customFormat="1" ht="12.75" customHeight="1" x14ac:dyDescent="0.2">
      <c r="A16" s="263" t="s">
        <v>123</v>
      </c>
      <c r="B16" s="263"/>
      <c r="C16" s="342"/>
      <c r="D16" s="342"/>
      <c r="E16" s="342"/>
      <c r="F16" s="389">
        <f t="shared" ref="F16:I16" si="2">SUM(F10)</f>
        <v>-96784</v>
      </c>
      <c r="G16" s="390">
        <f t="shared" si="2"/>
        <v>-60490</v>
      </c>
      <c r="H16" s="390">
        <f>SUM(H10:H14)</f>
        <v>-80676</v>
      </c>
      <c r="I16" s="390">
        <f t="shared" si="2"/>
        <v>-36294</v>
      </c>
      <c r="J16" s="390">
        <f>SUM(J10:J14)</f>
        <v>-36315</v>
      </c>
      <c r="K16" s="390">
        <f>SUM(K10:K15)</f>
        <v>0</v>
      </c>
      <c r="L16" s="271">
        <f>SUM(L10:L15)</f>
        <v>46924.43</v>
      </c>
      <c r="M16" s="271">
        <f t="shared" ref="M16:AE16" si="3">SUM(M10:M15)</f>
        <v>0</v>
      </c>
      <c r="N16" s="271">
        <f>SUM(N10:N15)</f>
        <v>0</v>
      </c>
      <c r="O16" s="264"/>
      <c r="P16" s="271"/>
      <c r="Q16" s="271">
        <f t="shared" si="3"/>
        <v>0</v>
      </c>
      <c r="R16" s="271">
        <f t="shared" si="3"/>
        <v>0</v>
      </c>
      <c r="S16" s="271">
        <f t="shared" si="3"/>
        <v>0</v>
      </c>
      <c r="T16" s="271">
        <f t="shared" si="3"/>
        <v>0</v>
      </c>
      <c r="U16" s="271">
        <f t="shared" si="3"/>
        <v>0</v>
      </c>
      <c r="V16" s="271">
        <f t="shared" si="3"/>
        <v>0</v>
      </c>
      <c r="W16" s="271">
        <f t="shared" si="3"/>
        <v>0</v>
      </c>
      <c r="X16" s="271">
        <f t="shared" si="3"/>
        <v>0</v>
      </c>
      <c r="Y16" s="271">
        <f t="shared" si="3"/>
        <v>0</v>
      </c>
      <c r="Z16" s="271">
        <f t="shared" si="3"/>
        <v>0</v>
      </c>
      <c r="AA16" s="271">
        <f t="shared" si="3"/>
        <v>0</v>
      </c>
      <c r="AB16" s="271">
        <f t="shared" si="3"/>
        <v>0</v>
      </c>
      <c r="AC16" s="271">
        <f t="shared" si="3"/>
        <v>0</v>
      </c>
      <c r="AD16" s="271">
        <f t="shared" si="3"/>
        <v>0</v>
      </c>
      <c r="AE16" s="271">
        <f t="shared" si="3"/>
        <v>0</v>
      </c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</row>
    <row r="17" spans="1:60" ht="12.75" customHeight="1" x14ac:dyDescent="0.2">
      <c r="A17" s="135"/>
      <c r="B17" s="135"/>
      <c r="C17" s="383"/>
      <c r="D17" s="383"/>
      <c r="E17" s="383"/>
      <c r="F17" s="384"/>
      <c r="G17" s="159"/>
      <c r="H17" s="159"/>
      <c r="I17" s="159"/>
      <c r="J17" s="159"/>
      <c r="K17" s="159"/>
      <c r="L17" s="133"/>
      <c r="M17" s="133"/>
      <c r="N17" s="133"/>
      <c r="O17" s="136"/>
      <c r="P17" s="133"/>
      <c r="Q17" s="133"/>
      <c r="R17" s="133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</row>
    <row r="18" spans="1:60" s="27" customFormat="1" ht="12.75" customHeight="1" x14ac:dyDescent="0.2">
      <c r="A18" s="263" t="s">
        <v>18</v>
      </c>
      <c r="B18" s="263"/>
      <c r="C18" s="342"/>
      <c r="D18" s="342"/>
      <c r="E18" s="342"/>
      <c r="F18" s="395"/>
      <c r="G18" s="396"/>
      <c r="H18" s="396"/>
      <c r="I18" s="396"/>
      <c r="J18" s="396"/>
      <c r="K18" s="396"/>
      <c r="L18" s="279"/>
      <c r="M18" s="279"/>
      <c r="N18" s="279"/>
      <c r="O18" s="280"/>
      <c r="P18" s="279"/>
      <c r="Q18" s="279"/>
      <c r="R18" s="279"/>
      <c r="S18" s="396"/>
      <c r="T18" s="396"/>
      <c r="U18" s="396"/>
      <c r="V18" s="396"/>
      <c r="W18" s="396"/>
      <c r="X18" s="396"/>
      <c r="Y18" s="396"/>
      <c r="Z18" s="396"/>
      <c r="AA18" s="396"/>
      <c r="AB18" s="396"/>
      <c r="AC18" s="396"/>
      <c r="AD18" s="396"/>
      <c r="AE18" s="396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</row>
    <row r="19" spans="1:60" ht="12.75" customHeight="1" x14ac:dyDescent="0.2">
      <c r="A19" s="135" t="s">
        <v>19</v>
      </c>
      <c r="B19" s="135" t="s">
        <v>7</v>
      </c>
      <c r="C19" s="383">
        <v>8000</v>
      </c>
      <c r="D19" s="383">
        <v>8200</v>
      </c>
      <c r="E19" s="383"/>
      <c r="F19" s="384">
        <f>SUM(H19,J19,L19:S19)</f>
        <v>-665823</v>
      </c>
      <c r="G19" s="159">
        <v>-490000</v>
      </c>
      <c r="H19" s="159">
        <v>-390000</v>
      </c>
      <c r="I19" s="159">
        <v>-276000</v>
      </c>
      <c r="J19" s="159">
        <v>-275822</v>
      </c>
      <c r="K19" s="159">
        <f>-300000-1020500+1020500+125000</f>
        <v>-175000</v>
      </c>
      <c r="L19" s="133">
        <v>-1</v>
      </c>
      <c r="M19" s="133">
        <v>0</v>
      </c>
      <c r="N19" s="133">
        <v>0</v>
      </c>
      <c r="O19" s="136"/>
      <c r="P19" s="133"/>
      <c r="Q19" s="133">
        <v>0</v>
      </c>
      <c r="R19" s="133">
        <v>0</v>
      </c>
      <c r="S19" s="159">
        <v>0</v>
      </c>
      <c r="T19" s="159"/>
      <c r="U19" s="159"/>
      <c r="V19" s="159"/>
      <c r="W19" s="159"/>
      <c r="X19" s="159"/>
      <c r="Y19" s="159"/>
      <c r="Z19" s="171" t="s">
        <v>160</v>
      </c>
      <c r="AA19" s="159"/>
      <c r="AB19" s="159"/>
      <c r="AC19" s="159"/>
      <c r="AD19" s="159"/>
      <c r="AE19" s="159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</row>
    <row r="20" spans="1:60" ht="12.75" customHeight="1" x14ac:dyDescent="0.2">
      <c r="A20" s="135" t="s">
        <v>262</v>
      </c>
      <c r="B20" s="135" t="s">
        <v>7</v>
      </c>
      <c r="C20" s="383">
        <v>8001</v>
      </c>
      <c r="D20" s="383">
        <v>8200</v>
      </c>
      <c r="E20" s="383"/>
      <c r="F20" s="384">
        <f>SUM(H20,J20,L20:S20)</f>
        <v>217034.44</v>
      </c>
      <c r="G20" s="159">
        <v>160000</v>
      </c>
      <c r="H20" s="159">
        <v>33413</v>
      </c>
      <c r="I20" s="159">
        <v>130000</v>
      </c>
      <c r="J20" s="159">
        <v>104786</v>
      </c>
      <c r="K20" s="159">
        <v>100000</v>
      </c>
      <c r="L20" s="133">
        <v>78835.44</v>
      </c>
      <c r="M20" s="133"/>
      <c r="N20" s="133">
        <v>0</v>
      </c>
      <c r="O20" s="136"/>
      <c r="P20" s="133"/>
      <c r="Q20" s="133"/>
      <c r="R20" s="133"/>
      <c r="S20" s="159"/>
      <c r="T20" s="159"/>
      <c r="U20" s="159"/>
      <c r="V20" s="159"/>
      <c r="W20" s="159"/>
      <c r="X20" s="159"/>
      <c r="Y20" s="159"/>
      <c r="Z20" s="171" t="s">
        <v>160</v>
      </c>
      <c r="AA20" s="159"/>
      <c r="AB20" s="159"/>
      <c r="AC20" s="159"/>
      <c r="AD20" s="159"/>
      <c r="AE20" s="159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</row>
    <row r="21" spans="1:60" ht="12.75" hidden="1" customHeight="1" x14ac:dyDescent="0.2">
      <c r="A21" s="135" t="s">
        <v>168</v>
      </c>
      <c r="B21" s="135"/>
      <c r="C21" s="383">
        <v>8001</v>
      </c>
      <c r="D21" s="383">
        <v>8200</v>
      </c>
      <c r="E21" s="383"/>
      <c r="F21" s="384">
        <f>SUM(H21,J21,L21:S21)</f>
        <v>0</v>
      </c>
      <c r="G21" s="159"/>
      <c r="H21" s="159"/>
      <c r="I21" s="159"/>
      <c r="J21" s="159"/>
      <c r="L21" s="133"/>
      <c r="M21" s="133"/>
      <c r="N21" s="133"/>
      <c r="O21" s="136"/>
      <c r="P21" s="133"/>
      <c r="Q21" s="133"/>
      <c r="R21" s="133"/>
      <c r="S21" s="159"/>
      <c r="T21" s="159"/>
      <c r="U21" s="159"/>
      <c r="V21" s="159"/>
      <c r="W21" s="159"/>
      <c r="X21" s="159"/>
      <c r="Y21" s="159"/>
      <c r="Z21" s="171" t="s">
        <v>160</v>
      </c>
      <c r="AA21" s="159"/>
      <c r="AB21" s="159"/>
      <c r="AC21" s="159"/>
      <c r="AD21" s="159"/>
      <c r="AE21" s="159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</row>
    <row r="22" spans="1:60" s="57" customFormat="1" ht="12.75" customHeight="1" x14ac:dyDescent="0.2">
      <c r="A22" s="263" t="s">
        <v>23</v>
      </c>
      <c r="B22" s="263"/>
      <c r="C22" s="342"/>
      <c r="D22" s="342"/>
      <c r="E22" s="342"/>
      <c r="F22" s="389">
        <f>SUM(F19:F20)</f>
        <v>-448788.56</v>
      </c>
      <c r="G22" s="390">
        <f>SUM(G19:G20)</f>
        <v>-330000</v>
      </c>
      <c r="H22" s="390">
        <f>SUM(H19:H20)</f>
        <v>-356587</v>
      </c>
      <c r="I22" s="390">
        <f>SUM(I19:I20)</f>
        <v>-146000</v>
      </c>
      <c r="J22" s="390">
        <f>SUM(J19:J20)</f>
        <v>-171036</v>
      </c>
      <c r="K22" s="390">
        <f>SUM(K19:K21)</f>
        <v>-75000</v>
      </c>
      <c r="L22" s="271">
        <f>SUM(L19:L21)</f>
        <v>78834.44</v>
      </c>
      <c r="M22" s="271">
        <f t="shared" ref="M22:AE22" si="4">SUM(M19:M21)</f>
        <v>0</v>
      </c>
      <c r="N22" s="271">
        <f>SUM(N19:N21)</f>
        <v>0</v>
      </c>
      <c r="O22" s="264"/>
      <c r="P22" s="271"/>
      <c r="Q22" s="271">
        <f t="shared" si="4"/>
        <v>0</v>
      </c>
      <c r="R22" s="271">
        <f t="shared" si="4"/>
        <v>0</v>
      </c>
      <c r="S22" s="271">
        <f t="shared" si="4"/>
        <v>0</v>
      </c>
      <c r="T22" s="271">
        <f t="shared" si="4"/>
        <v>0</v>
      </c>
      <c r="U22" s="271">
        <f t="shared" si="4"/>
        <v>0</v>
      </c>
      <c r="V22" s="271">
        <f t="shared" si="4"/>
        <v>0</v>
      </c>
      <c r="W22" s="271">
        <f t="shared" si="4"/>
        <v>0</v>
      </c>
      <c r="X22" s="271">
        <f t="shared" si="4"/>
        <v>0</v>
      </c>
      <c r="Y22" s="271">
        <f t="shared" si="4"/>
        <v>0</v>
      </c>
      <c r="Z22" s="271">
        <f t="shared" si="4"/>
        <v>0</v>
      </c>
      <c r="AA22" s="271">
        <f t="shared" si="4"/>
        <v>0</v>
      </c>
      <c r="AB22" s="271">
        <f t="shared" si="4"/>
        <v>0</v>
      </c>
      <c r="AC22" s="271">
        <f t="shared" si="4"/>
        <v>0</v>
      </c>
      <c r="AD22" s="271">
        <f t="shared" si="4"/>
        <v>0</v>
      </c>
      <c r="AE22" s="271">
        <f t="shared" si="4"/>
        <v>0</v>
      </c>
      <c r="AF22" s="58" t="s">
        <v>263</v>
      </c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</row>
    <row r="23" spans="1:60" ht="12.75" customHeight="1" x14ac:dyDescent="0.2">
      <c r="A23" s="149"/>
      <c r="B23" s="149"/>
      <c r="C23" s="148"/>
      <c r="D23" s="148"/>
      <c r="E23" s="148"/>
      <c r="F23" s="397"/>
      <c r="G23" s="146"/>
      <c r="H23" s="146"/>
      <c r="I23" s="146"/>
      <c r="J23" s="146"/>
      <c r="K23" s="146"/>
      <c r="L23" s="275"/>
      <c r="M23" s="275"/>
      <c r="N23" s="275"/>
      <c r="O23" s="254"/>
      <c r="P23" s="275"/>
      <c r="Q23" s="275"/>
      <c r="R23" s="275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</row>
    <row r="24" spans="1:60" s="27" customFormat="1" ht="12.75" customHeight="1" x14ac:dyDescent="0.2">
      <c r="A24" s="263" t="s">
        <v>169</v>
      </c>
      <c r="B24" s="263"/>
      <c r="C24" s="342"/>
      <c r="D24" s="342"/>
      <c r="E24" s="342"/>
      <c r="F24" s="395"/>
      <c r="G24" s="396"/>
      <c r="H24" s="396"/>
      <c r="I24" s="396"/>
      <c r="J24" s="396"/>
      <c r="K24" s="396"/>
      <c r="L24" s="279"/>
      <c r="M24" s="279"/>
      <c r="N24" s="279"/>
      <c r="O24" s="280"/>
      <c r="P24" s="279"/>
      <c r="Q24" s="279"/>
      <c r="R24" s="279"/>
      <c r="S24" s="396"/>
      <c r="T24" s="396"/>
      <c r="U24" s="396"/>
      <c r="V24" s="396"/>
      <c r="W24" s="396"/>
      <c r="X24" s="396"/>
      <c r="Y24" s="396"/>
      <c r="Z24" s="396"/>
      <c r="AA24" s="396"/>
      <c r="AB24" s="396"/>
      <c r="AC24" s="396"/>
      <c r="AD24" s="396"/>
      <c r="AE24" s="396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</row>
    <row r="25" spans="1:60" ht="12.75" customHeight="1" x14ac:dyDescent="0.2">
      <c r="A25" s="135" t="s">
        <v>171</v>
      </c>
      <c r="B25" s="135" t="s">
        <v>172</v>
      </c>
      <c r="C25" s="383">
        <v>8146</v>
      </c>
      <c r="D25" s="383">
        <v>8320</v>
      </c>
      <c r="E25" s="383">
        <v>7210</v>
      </c>
      <c r="F25" s="384">
        <f t="shared" ref="F25:F38" si="5">SUM(H25,J25,L25:S25)</f>
        <v>-100000</v>
      </c>
      <c r="G25" s="159"/>
      <c r="H25" s="159"/>
      <c r="I25" s="159">
        <v>0</v>
      </c>
      <c r="J25" s="159">
        <v>0</v>
      </c>
      <c r="K25" s="159"/>
      <c r="L25" s="133"/>
      <c r="M25" s="133">
        <v>-40000</v>
      </c>
      <c r="N25" s="133">
        <v>0</v>
      </c>
      <c r="O25" s="136"/>
      <c r="P25" s="133"/>
      <c r="Q25" s="133">
        <v>-30000</v>
      </c>
      <c r="R25" s="133">
        <v>-30000</v>
      </c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>
        <f>F25/20</f>
        <v>-5000</v>
      </c>
      <c r="AD25" s="159"/>
      <c r="AE25" s="159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</row>
    <row r="26" spans="1:60" ht="12.75" hidden="1" customHeight="1" x14ac:dyDescent="0.2">
      <c r="A26" s="135" t="s">
        <v>34</v>
      </c>
      <c r="B26" s="135"/>
      <c r="C26" s="383"/>
      <c r="D26" s="383"/>
      <c r="E26" s="383"/>
      <c r="F26" s="384">
        <f t="shared" si="5"/>
        <v>-32743</v>
      </c>
      <c r="G26" s="159"/>
      <c r="H26" s="159"/>
      <c r="I26" s="159">
        <v>-30000</v>
      </c>
      <c r="J26" s="159">
        <v>-32743</v>
      </c>
      <c r="K26" s="159"/>
      <c r="L26" s="133"/>
      <c r="M26" s="133"/>
      <c r="N26" s="133"/>
      <c r="O26" s="136"/>
      <c r="P26" s="133"/>
      <c r="Q26" s="133"/>
      <c r="R26" s="133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</row>
    <row r="27" spans="1:60" ht="12.75" customHeight="1" x14ac:dyDescent="0.2">
      <c r="A27" s="135" t="s">
        <v>175</v>
      </c>
      <c r="B27" s="135" t="s">
        <v>172</v>
      </c>
      <c r="C27" s="383">
        <v>8121</v>
      </c>
      <c r="D27" s="383">
        <v>8310</v>
      </c>
      <c r="E27" s="383">
        <v>7241</v>
      </c>
      <c r="F27" s="384">
        <f t="shared" si="5"/>
        <v>-94879.5</v>
      </c>
      <c r="G27" s="159"/>
      <c r="H27" s="159"/>
      <c r="I27" s="159"/>
      <c r="J27" s="159"/>
      <c r="K27" s="159">
        <v>-40000</v>
      </c>
      <c r="L27" s="133">
        <v>-39879.5</v>
      </c>
      <c r="M27" s="133">
        <v>-55000</v>
      </c>
      <c r="N27" s="133">
        <v>0</v>
      </c>
      <c r="O27" s="136"/>
      <c r="P27" s="133"/>
      <c r="Q27" s="133"/>
      <c r="R27" s="133"/>
      <c r="S27" s="159"/>
      <c r="T27" s="159"/>
      <c r="U27" s="159"/>
      <c r="V27" s="159"/>
      <c r="W27" s="159"/>
      <c r="X27" s="159"/>
      <c r="Y27" s="159"/>
      <c r="Z27" s="159"/>
      <c r="AA27" s="159">
        <f>F27/20</f>
        <v>-4743.9750000000004</v>
      </c>
      <c r="AB27" s="159"/>
      <c r="AC27" s="159"/>
      <c r="AD27" s="159"/>
      <c r="AE27" s="159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</row>
    <row r="28" spans="1:60" ht="12.75" hidden="1" customHeight="1" x14ac:dyDescent="0.2">
      <c r="A28" s="135" t="s">
        <v>29</v>
      </c>
      <c r="B28" s="135" t="s">
        <v>172</v>
      </c>
      <c r="C28" s="383">
        <v>8147</v>
      </c>
      <c r="D28" s="383"/>
      <c r="E28" s="383"/>
      <c r="F28" s="384">
        <f t="shared" si="5"/>
        <v>52891</v>
      </c>
      <c r="G28" s="176">
        <v>13009</v>
      </c>
      <c r="H28" s="159">
        <v>52891</v>
      </c>
      <c r="I28" s="176"/>
      <c r="J28" s="159"/>
      <c r="K28" s="159"/>
      <c r="L28" s="133"/>
      <c r="M28" s="133"/>
      <c r="N28" s="133"/>
      <c r="O28" s="136"/>
      <c r="P28" s="133"/>
      <c r="Q28" s="133"/>
      <c r="R28" s="133"/>
      <c r="S28" s="176"/>
      <c r="T28" s="176"/>
      <c r="U28" s="176"/>
      <c r="V28" s="176"/>
      <c r="W28" s="176"/>
      <c r="X28" s="176"/>
      <c r="Y28" s="176"/>
      <c r="Z28" s="236" t="s">
        <v>160</v>
      </c>
      <c r="AA28" s="159"/>
      <c r="AB28" s="159"/>
      <c r="AC28" s="159"/>
      <c r="AD28" s="159"/>
      <c r="AE28" s="159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</row>
    <row r="29" spans="1:60" ht="12.75" customHeight="1" x14ac:dyDescent="0.2">
      <c r="A29" s="135" t="s">
        <v>176</v>
      </c>
      <c r="B29" s="135" t="s">
        <v>172</v>
      </c>
      <c r="C29" s="383">
        <v>8148</v>
      </c>
      <c r="D29" s="383">
        <v>8320</v>
      </c>
      <c r="E29" s="383">
        <v>7216</v>
      </c>
      <c r="F29" s="384">
        <f t="shared" si="5"/>
        <v>92000</v>
      </c>
      <c r="G29" s="159">
        <v>0</v>
      </c>
      <c r="H29" s="159">
        <v>142000</v>
      </c>
      <c r="I29" s="159"/>
      <c r="J29" s="159"/>
      <c r="K29" s="159"/>
      <c r="L29" s="269"/>
      <c r="M29" s="269">
        <v>-50000</v>
      </c>
      <c r="N29" s="269">
        <v>0</v>
      </c>
      <c r="O29" s="290"/>
      <c r="P29" s="269"/>
      <c r="Q29" s="133"/>
      <c r="R29" s="133"/>
      <c r="S29" s="159"/>
      <c r="T29" s="159"/>
      <c r="U29" s="159"/>
      <c r="V29" s="159"/>
      <c r="W29" s="159"/>
      <c r="X29" s="159"/>
      <c r="Y29" s="159"/>
      <c r="Z29" s="159"/>
      <c r="AA29" s="159">
        <f>M29/20</f>
        <v>-2500</v>
      </c>
      <c r="AB29" s="159"/>
      <c r="AC29" s="159"/>
      <c r="AD29" s="159"/>
      <c r="AE29" s="159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</row>
    <row r="30" spans="1:60" ht="12.75" customHeight="1" x14ac:dyDescent="0.2">
      <c r="A30" s="135" t="s">
        <v>178</v>
      </c>
      <c r="B30" s="135" t="s">
        <v>172</v>
      </c>
      <c r="C30" s="383">
        <v>8101</v>
      </c>
      <c r="D30" s="383">
        <v>8320</v>
      </c>
      <c r="E30" s="383">
        <v>7211</v>
      </c>
      <c r="F30" s="384">
        <f t="shared" si="5"/>
        <v>-263545.25</v>
      </c>
      <c r="G30" s="159"/>
      <c r="H30" s="159"/>
      <c r="I30" s="159">
        <v>-110000</v>
      </c>
      <c r="J30" s="159">
        <v>-65048</v>
      </c>
      <c r="K30" s="159">
        <v>-50000</v>
      </c>
      <c r="L30" s="133">
        <v>-56216.08</v>
      </c>
      <c r="M30" s="133">
        <v>-60000</v>
      </c>
      <c r="N30" s="133">
        <v>-2281.17</v>
      </c>
      <c r="O30" s="136"/>
      <c r="P30" s="133"/>
      <c r="Q30" s="133">
        <v>-50000</v>
      </c>
      <c r="R30" s="133">
        <v>-30000</v>
      </c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>
        <f>F30/20</f>
        <v>-13177.262500000001</v>
      </c>
      <c r="AD30" s="159"/>
      <c r="AE30" s="159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</row>
    <row r="31" spans="1:60" ht="12.75" customHeight="1" x14ac:dyDescent="0.2">
      <c r="A31" s="135" t="s">
        <v>179</v>
      </c>
      <c r="B31" s="135" t="s">
        <v>172</v>
      </c>
      <c r="C31" s="383">
        <v>8102</v>
      </c>
      <c r="D31" s="383">
        <v>8320</v>
      </c>
      <c r="E31" s="383">
        <v>7212</v>
      </c>
      <c r="F31" s="384">
        <f t="shared" si="5"/>
        <v>-228764</v>
      </c>
      <c r="G31" s="184"/>
      <c r="H31" s="159"/>
      <c r="I31" s="184">
        <v>-30000</v>
      </c>
      <c r="J31" s="159">
        <v>-18764</v>
      </c>
      <c r="K31" s="159"/>
      <c r="L31" s="269"/>
      <c r="M31" s="269">
        <v>-50000</v>
      </c>
      <c r="N31" s="269">
        <v>0</v>
      </c>
      <c r="O31" s="290"/>
      <c r="P31" s="269"/>
      <c r="Q31" s="133">
        <v>-75000</v>
      </c>
      <c r="R31" s="133">
        <v>-85000</v>
      </c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>
        <f>F31/20</f>
        <v>-11438.2</v>
      </c>
      <c r="AD31" s="159"/>
      <c r="AE31" s="159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</row>
    <row r="32" spans="1:60" ht="12.75" customHeight="1" x14ac:dyDescent="0.2">
      <c r="A32" s="135" t="s">
        <v>181</v>
      </c>
      <c r="B32" s="135" t="s">
        <v>172</v>
      </c>
      <c r="C32" s="383">
        <v>8149</v>
      </c>
      <c r="D32" s="383">
        <v>8320</v>
      </c>
      <c r="E32" s="383">
        <v>7215</v>
      </c>
      <c r="F32" s="384">
        <f t="shared" si="5"/>
        <v>-40000</v>
      </c>
      <c r="G32" s="184"/>
      <c r="H32" s="159"/>
      <c r="I32" s="184"/>
      <c r="J32" s="159"/>
      <c r="K32" s="159"/>
      <c r="L32" s="269"/>
      <c r="M32" s="269">
        <v>-10000</v>
      </c>
      <c r="N32" s="269">
        <v>0</v>
      </c>
      <c r="O32" s="290"/>
      <c r="P32" s="269"/>
      <c r="Q32" s="133">
        <v>-20000</v>
      </c>
      <c r="R32" s="133">
        <v>-10000</v>
      </c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</row>
    <row r="33" spans="1:60" ht="12.75" customHeight="1" x14ac:dyDescent="0.2">
      <c r="A33" s="135" t="s">
        <v>182</v>
      </c>
      <c r="B33" s="135" t="s">
        <v>172</v>
      </c>
      <c r="C33" s="383">
        <v>8150</v>
      </c>
      <c r="D33" s="383">
        <v>8310</v>
      </c>
      <c r="E33" s="383">
        <v>7240</v>
      </c>
      <c r="F33" s="384">
        <f t="shared" si="5"/>
        <v>-10000</v>
      </c>
      <c r="G33" s="184"/>
      <c r="H33" s="159"/>
      <c r="I33" s="184"/>
      <c r="J33" s="159"/>
      <c r="K33" s="159"/>
      <c r="L33" s="269"/>
      <c r="M33" s="269">
        <v>-10000</v>
      </c>
      <c r="N33" s="269">
        <v>0</v>
      </c>
      <c r="O33" s="290"/>
      <c r="P33" s="269"/>
      <c r="Q33" s="133"/>
      <c r="R33" s="133"/>
      <c r="S33" s="159"/>
      <c r="T33" s="159"/>
      <c r="U33" s="159"/>
      <c r="V33" s="159"/>
      <c r="W33" s="159"/>
      <c r="X33" s="159"/>
      <c r="Y33" s="159"/>
      <c r="Z33" s="159"/>
      <c r="AA33" s="159">
        <f>F33/20</f>
        <v>-500</v>
      </c>
      <c r="AB33" s="159"/>
      <c r="AC33" s="159"/>
      <c r="AD33" s="159"/>
      <c r="AE33" s="159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</row>
    <row r="34" spans="1:60" ht="12.75" customHeight="1" x14ac:dyDescent="0.2">
      <c r="A34" s="135" t="s">
        <v>184</v>
      </c>
      <c r="B34" s="135" t="s">
        <v>172</v>
      </c>
      <c r="C34" s="383">
        <v>8151</v>
      </c>
      <c r="D34" s="383">
        <v>8320</v>
      </c>
      <c r="E34" s="383">
        <v>7213</v>
      </c>
      <c r="F34" s="384">
        <f t="shared" si="5"/>
        <v>-80000</v>
      </c>
      <c r="G34" s="184"/>
      <c r="H34" s="159"/>
      <c r="I34" s="184"/>
      <c r="J34" s="159"/>
      <c r="K34" s="159"/>
      <c r="L34" s="269"/>
      <c r="M34" s="269">
        <v>-40000</v>
      </c>
      <c r="N34" s="269">
        <v>0</v>
      </c>
      <c r="O34" s="290"/>
      <c r="P34" s="269"/>
      <c r="Q34" s="133">
        <v>-30000</v>
      </c>
      <c r="R34" s="133"/>
      <c r="S34" s="133">
        <v>-10000</v>
      </c>
      <c r="T34" s="159"/>
      <c r="U34" s="159"/>
      <c r="V34" s="159"/>
      <c r="W34" s="159"/>
      <c r="X34" s="159"/>
      <c r="Y34" s="159"/>
      <c r="Z34" s="159"/>
      <c r="AA34" s="159"/>
      <c r="AB34" s="159">
        <f>(M34+Q34)/20</f>
        <v>-3500</v>
      </c>
      <c r="AC34" s="159"/>
      <c r="AD34" s="159"/>
      <c r="AE34" s="159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</row>
    <row r="35" spans="1:60" ht="12.75" hidden="1" customHeight="1" x14ac:dyDescent="0.2">
      <c r="A35" s="135" t="s">
        <v>187</v>
      </c>
      <c r="B35" s="135" t="s">
        <v>172</v>
      </c>
      <c r="C35" s="383">
        <v>8004</v>
      </c>
      <c r="D35" s="383" t="s">
        <v>188</v>
      </c>
      <c r="E35" s="383" t="s">
        <v>189</v>
      </c>
      <c r="F35" s="384">
        <f t="shared" si="5"/>
        <v>-4112.8999999999996</v>
      </c>
      <c r="G35" s="184"/>
      <c r="H35" s="159"/>
      <c r="I35" s="184"/>
      <c r="J35" s="159"/>
      <c r="K35" s="159">
        <v>-10000</v>
      </c>
      <c r="L35" s="269">
        <v>-4112.8999999999996</v>
      </c>
      <c r="M35" s="269"/>
      <c r="N35" s="269"/>
      <c r="O35" s="290"/>
      <c r="P35" s="269"/>
      <c r="Q35" s="133"/>
      <c r="R35" s="133"/>
      <c r="S35" s="159"/>
      <c r="T35" s="159"/>
      <c r="U35" s="159"/>
      <c r="V35" s="159"/>
      <c r="W35" s="159"/>
      <c r="X35" s="159"/>
      <c r="Y35" s="159"/>
      <c r="Z35" s="159" t="s">
        <v>158</v>
      </c>
      <c r="AA35" s="159"/>
      <c r="AB35" s="159"/>
      <c r="AC35" s="159"/>
      <c r="AD35" s="159"/>
      <c r="AE35" s="159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</row>
    <row r="36" spans="1:60" ht="12.75" customHeight="1" x14ac:dyDescent="0.2">
      <c r="A36" s="135" t="s">
        <v>190</v>
      </c>
      <c r="B36" s="135" t="s">
        <v>172</v>
      </c>
      <c r="C36" s="383">
        <v>8152</v>
      </c>
      <c r="D36" s="383">
        <v>8340</v>
      </c>
      <c r="E36" s="383">
        <v>7287</v>
      </c>
      <c r="F36" s="384">
        <f t="shared" si="5"/>
        <v>-1955226</v>
      </c>
      <c r="G36" s="184"/>
      <c r="H36" s="159"/>
      <c r="I36" s="184"/>
      <c r="J36" s="159"/>
      <c r="K36" s="159"/>
      <c r="L36" s="269"/>
      <c r="M36" s="269">
        <v>-2000000</v>
      </c>
      <c r="N36" s="269">
        <v>0</v>
      </c>
      <c r="O36" s="292">
        <v>44774</v>
      </c>
      <c r="P36" s="269"/>
      <c r="Q36" s="133"/>
      <c r="R36" s="133"/>
      <c r="S36" s="159"/>
      <c r="T36" s="159"/>
      <c r="U36" s="159"/>
      <c r="V36" s="159"/>
      <c r="W36" s="159"/>
      <c r="X36" s="159"/>
      <c r="Y36" s="159"/>
      <c r="Z36" s="159"/>
      <c r="AA36" s="159">
        <f>M36/20</f>
        <v>-100000</v>
      </c>
      <c r="AB36" s="159"/>
      <c r="AC36" s="159"/>
      <c r="AD36" s="159"/>
      <c r="AE36" s="159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</row>
    <row r="37" spans="1:60" ht="12.75" customHeight="1" x14ac:dyDescent="0.2">
      <c r="A37" s="314" t="s">
        <v>191</v>
      </c>
      <c r="B37" s="135" t="s">
        <v>172</v>
      </c>
      <c r="C37" s="383">
        <v>8153</v>
      </c>
      <c r="D37" s="383">
        <v>8410</v>
      </c>
      <c r="E37" s="383">
        <v>7150</v>
      </c>
      <c r="F37" s="384">
        <f t="shared" si="5"/>
        <v>-155318</v>
      </c>
      <c r="G37" s="184"/>
      <c r="H37" s="159"/>
      <c r="I37" s="184"/>
      <c r="J37" s="159"/>
      <c r="K37" s="159"/>
      <c r="L37" s="269"/>
      <c r="M37" s="269">
        <v>-200000</v>
      </c>
      <c r="N37" s="269">
        <v>0</v>
      </c>
      <c r="O37" s="292">
        <v>44682</v>
      </c>
      <c r="P37" s="269"/>
      <c r="Q37" s="133"/>
      <c r="R37" s="133"/>
      <c r="S37" s="159"/>
      <c r="T37" s="159"/>
      <c r="U37" s="159"/>
      <c r="V37" s="159"/>
      <c r="W37" s="159"/>
      <c r="X37" s="159"/>
      <c r="Y37" s="159"/>
      <c r="Z37" s="159"/>
      <c r="AA37" s="159">
        <f>M37/20</f>
        <v>-10000</v>
      </c>
      <c r="AB37" s="159"/>
      <c r="AC37" s="159"/>
      <c r="AD37" s="159"/>
      <c r="AE37" s="159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</row>
    <row r="38" spans="1:60" ht="12.75" hidden="1" customHeight="1" x14ac:dyDescent="0.2">
      <c r="A38" s="314" t="s">
        <v>194</v>
      </c>
      <c r="B38" s="135"/>
      <c r="C38" s="383"/>
      <c r="D38" s="383"/>
      <c r="E38" s="383"/>
      <c r="F38" s="384">
        <f t="shared" si="5"/>
        <v>-21240</v>
      </c>
      <c r="G38" s="184">
        <v>0</v>
      </c>
      <c r="H38" s="159">
        <v>-21240</v>
      </c>
      <c r="I38" s="184"/>
      <c r="J38" s="159"/>
      <c r="K38" s="159"/>
      <c r="L38" s="269"/>
      <c r="M38" s="269"/>
      <c r="N38" s="269"/>
      <c r="O38" s="290"/>
      <c r="P38" s="269"/>
      <c r="Q38" s="133"/>
      <c r="R38" s="133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</row>
    <row r="39" spans="1:60" s="57" customFormat="1" ht="12.75" customHeight="1" x14ac:dyDescent="0.2">
      <c r="A39" s="263" t="s">
        <v>197</v>
      </c>
      <c r="B39" s="263"/>
      <c r="C39" s="342"/>
      <c r="D39" s="342"/>
      <c r="E39" s="342"/>
      <c r="F39" s="389">
        <f>SUM(F25:F38)</f>
        <v>-2840937.65</v>
      </c>
      <c r="G39" s="390">
        <f>SUM(G25:G38)</f>
        <v>13009</v>
      </c>
      <c r="H39" s="390">
        <f t="shared" ref="H39:AE39" si="6">SUM(H25:H38)</f>
        <v>173651</v>
      </c>
      <c r="I39" s="390">
        <f t="shared" si="6"/>
        <v>-170000</v>
      </c>
      <c r="J39" s="390">
        <f t="shared" si="6"/>
        <v>-116555</v>
      </c>
      <c r="K39" s="390">
        <f t="shared" si="6"/>
        <v>-100000</v>
      </c>
      <c r="L39" s="271">
        <f>SUM(L25:L38)</f>
        <v>-100208.48</v>
      </c>
      <c r="M39" s="271">
        <f t="shared" si="6"/>
        <v>-2515000</v>
      </c>
      <c r="N39" s="271">
        <f>SUM(N25:N38)</f>
        <v>-2281.17</v>
      </c>
      <c r="O39" s="264"/>
      <c r="P39" s="271"/>
      <c r="Q39" s="271">
        <f t="shared" si="6"/>
        <v>-205000</v>
      </c>
      <c r="R39" s="271">
        <f t="shared" si="6"/>
        <v>-155000</v>
      </c>
      <c r="S39" s="271">
        <f t="shared" si="6"/>
        <v>-10000</v>
      </c>
      <c r="T39" s="271">
        <f t="shared" si="6"/>
        <v>0</v>
      </c>
      <c r="U39" s="271">
        <f t="shared" si="6"/>
        <v>0</v>
      </c>
      <c r="V39" s="271">
        <f t="shared" si="6"/>
        <v>0</v>
      </c>
      <c r="W39" s="271">
        <f t="shared" si="6"/>
        <v>0</v>
      </c>
      <c r="X39" s="271">
        <f t="shared" si="6"/>
        <v>0</v>
      </c>
      <c r="Y39" s="271">
        <f t="shared" si="6"/>
        <v>0</v>
      </c>
      <c r="Z39" s="271">
        <f t="shared" si="6"/>
        <v>0</v>
      </c>
      <c r="AA39" s="271">
        <f t="shared" si="6"/>
        <v>-117743.97500000001</v>
      </c>
      <c r="AB39" s="271">
        <f t="shared" si="6"/>
        <v>-3500</v>
      </c>
      <c r="AC39" s="271">
        <f t="shared" si="6"/>
        <v>-29615.462500000001</v>
      </c>
      <c r="AD39" s="271">
        <f t="shared" si="6"/>
        <v>0</v>
      </c>
      <c r="AE39" s="271">
        <f t="shared" si="6"/>
        <v>0</v>
      </c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</row>
    <row r="40" spans="1:60" s="7" customFormat="1" ht="12.75" customHeight="1" x14ac:dyDescent="0.2">
      <c r="A40" s="149"/>
      <c r="B40" s="149"/>
      <c r="C40" s="148"/>
      <c r="D40" s="148"/>
      <c r="E40" s="148"/>
      <c r="F40" s="397"/>
      <c r="G40" s="398"/>
      <c r="H40" s="146"/>
      <c r="I40" s="398"/>
      <c r="J40" s="146"/>
      <c r="K40" s="146"/>
      <c r="L40" s="276"/>
      <c r="M40" s="276"/>
      <c r="N40" s="276"/>
      <c r="O40" s="257"/>
      <c r="P40" s="276"/>
      <c r="Q40" s="275"/>
      <c r="R40" s="275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</row>
    <row r="41" spans="1:60" s="27" customFormat="1" ht="12.75" customHeight="1" x14ac:dyDescent="0.2">
      <c r="A41" s="263" t="s">
        <v>200</v>
      </c>
      <c r="B41" s="263"/>
      <c r="C41" s="342"/>
      <c r="D41" s="342"/>
      <c r="E41" s="342"/>
      <c r="F41" s="395"/>
      <c r="G41" s="399"/>
      <c r="H41" s="396"/>
      <c r="I41" s="399"/>
      <c r="J41" s="396"/>
      <c r="K41" s="396"/>
      <c r="L41" s="74"/>
      <c r="M41" s="74"/>
      <c r="N41" s="74"/>
      <c r="O41" s="99"/>
      <c r="P41" s="96"/>
      <c r="Q41" s="279"/>
      <c r="R41" s="279"/>
      <c r="S41" s="396"/>
      <c r="T41" s="396"/>
      <c r="U41" s="396"/>
      <c r="V41" s="396"/>
      <c r="W41" s="396"/>
      <c r="X41" s="396"/>
      <c r="Y41" s="396"/>
      <c r="Z41" s="396"/>
      <c r="AA41" s="396"/>
      <c r="AB41" s="396"/>
      <c r="AC41" s="396"/>
      <c r="AD41" s="396"/>
      <c r="AE41" s="396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</row>
    <row r="42" spans="1:60" s="27" customFormat="1" ht="12.75" hidden="1" customHeight="1" x14ac:dyDescent="0.2">
      <c r="A42" s="135" t="s">
        <v>202</v>
      </c>
      <c r="B42" s="149"/>
      <c r="C42" s="383">
        <v>8122</v>
      </c>
      <c r="D42" s="383">
        <v>8400</v>
      </c>
      <c r="E42" s="383">
        <v>7110</v>
      </c>
      <c r="F42" s="384">
        <f t="shared" ref="F42:F61" si="7">SUM(H42,J42,L42:S42)</f>
        <v>-47381.34</v>
      </c>
      <c r="G42" s="400"/>
      <c r="H42" s="183"/>
      <c r="I42" s="400"/>
      <c r="J42" s="183"/>
      <c r="K42" s="183">
        <v>-47381</v>
      </c>
      <c r="L42" s="347">
        <v>-47381.34</v>
      </c>
      <c r="M42" s="347"/>
      <c r="N42" s="347"/>
      <c r="O42" s="302"/>
      <c r="P42" s="347"/>
      <c r="Q42" s="297"/>
      <c r="R42" s="297"/>
      <c r="S42" s="183"/>
      <c r="T42" s="183"/>
      <c r="U42" s="183"/>
      <c r="V42" s="183"/>
      <c r="W42" s="183"/>
      <c r="X42" s="183"/>
      <c r="Y42" s="183"/>
      <c r="Z42" s="183">
        <f t="shared" ref="Z42:Z49" si="8">K42*0.15</f>
        <v>-7107.15</v>
      </c>
      <c r="AA42" s="183">
        <f t="shared" ref="AA42:AA49" si="9">M42*0.15+(K42-Z42)*0.15</f>
        <v>-6041.0774999999994</v>
      </c>
      <c r="AB42" s="183">
        <f t="shared" ref="AB42:AB49" si="10">Q42*0.15+(M42-M42*0.15)*0.15+(K42-Z42-(K42-Z42)*0.15)*0.15</f>
        <v>-5134.9158749999997</v>
      </c>
      <c r="AC42" s="183"/>
      <c r="AD42" s="183"/>
      <c r="AE42" s="183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</row>
    <row r="43" spans="1:60" ht="12.75" customHeight="1" x14ac:dyDescent="0.2">
      <c r="A43" s="135" t="s">
        <v>203</v>
      </c>
      <c r="B43" s="135"/>
      <c r="C43" s="383">
        <v>8154</v>
      </c>
      <c r="D43" s="383">
        <v>8450</v>
      </c>
      <c r="E43" s="383">
        <v>7115</v>
      </c>
      <c r="F43" s="384">
        <f t="shared" si="7"/>
        <v>-220000</v>
      </c>
      <c r="G43" s="401"/>
      <c r="H43" s="402"/>
      <c r="I43" s="401"/>
      <c r="J43" s="402"/>
      <c r="K43" s="402"/>
      <c r="L43" s="347"/>
      <c r="M43" s="347">
        <v>-20000</v>
      </c>
      <c r="N43" s="347">
        <v>0</v>
      </c>
      <c r="O43" s="302"/>
      <c r="P43" s="347"/>
      <c r="Q43" s="132">
        <v>-200000</v>
      </c>
      <c r="R43" s="132"/>
      <c r="S43" s="403"/>
      <c r="T43" s="403"/>
      <c r="U43" s="403"/>
      <c r="V43" s="403"/>
      <c r="W43" s="403"/>
      <c r="X43" s="403"/>
      <c r="Y43" s="403"/>
      <c r="Z43" s="159">
        <f t="shared" si="8"/>
        <v>0</v>
      </c>
      <c r="AA43" s="159">
        <f t="shared" si="9"/>
        <v>-3000</v>
      </c>
      <c r="AB43" s="159">
        <f t="shared" si="10"/>
        <v>-32550</v>
      </c>
      <c r="AC43" s="159"/>
      <c r="AD43" s="159"/>
      <c r="AE43" s="159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</row>
    <row r="44" spans="1:60" ht="12.75" customHeight="1" x14ac:dyDescent="0.2">
      <c r="A44" s="135" t="s">
        <v>205</v>
      </c>
      <c r="B44" s="135"/>
      <c r="C44" s="383">
        <v>8123</v>
      </c>
      <c r="D44" s="383">
        <v>8400</v>
      </c>
      <c r="E44" s="383">
        <v>7110</v>
      </c>
      <c r="F44" s="384">
        <f t="shared" si="7"/>
        <v>-50819.5</v>
      </c>
      <c r="G44" s="401"/>
      <c r="H44" s="402"/>
      <c r="I44" s="401"/>
      <c r="J44" s="402"/>
      <c r="K44" s="402">
        <v>-30000</v>
      </c>
      <c r="L44" s="347">
        <v>-20819.5</v>
      </c>
      <c r="M44" s="347">
        <v>-30000</v>
      </c>
      <c r="N44" s="347">
        <v>0</v>
      </c>
      <c r="O44" s="302"/>
      <c r="P44" s="347"/>
      <c r="Q44" s="132"/>
      <c r="R44" s="132"/>
      <c r="S44" s="403"/>
      <c r="T44" s="403"/>
      <c r="U44" s="403"/>
      <c r="V44" s="403"/>
      <c r="W44" s="403"/>
      <c r="X44" s="403"/>
      <c r="Y44" s="403"/>
      <c r="Z44" s="159">
        <f t="shared" si="8"/>
        <v>-4500</v>
      </c>
      <c r="AA44" s="159">
        <f t="shared" si="9"/>
        <v>-8325</v>
      </c>
      <c r="AB44" s="159">
        <f t="shared" si="10"/>
        <v>-7076.25</v>
      </c>
      <c r="AC44" s="159"/>
      <c r="AD44" s="159"/>
      <c r="AE44" s="159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</row>
    <row r="45" spans="1:60" ht="12.75" customHeight="1" x14ac:dyDescent="0.2">
      <c r="A45" s="135" t="s">
        <v>103</v>
      </c>
      <c r="B45" s="135" t="s">
        <v>9</v>
      </c>
      <c r="C45" s="383">
        <v>8103</v>
      </c>
      <c r="D45" s="383">
        <v>8400</v>
      </c>
      <c r="E45" s="383">
        <v>7110</v>
      </c>
      <c r="F45" s="384">
        <f t="shared" si="7"/>
        <v>-303399</v>
      </c>
      <c r="G45" s="404">
        <v>-50000</v>
      </c>
      <c r="H45" s="402">
        <v>-48258</v>
      </c>
      <c r="I45" s="404">
        <v>-50000</v>
      </c>
      <c r="J45" s="402">
        <v>-66821</v>
      </c>
      <c r="K45" s="402">
        <v>-50000</v>
      </c>
      <c r="L45" s="269">
        <v>-58320</v>
      </c>
      <c r="M45" s="269">
        <f>-50000-30000</f>
        <v>-80000</v>
      </c>
      <c r="N45" s="269">
        <v>0</v>
      </c>
      <c r="O45" s="290"/>
      <c r="P45" s="269"/>
      <c r="Q45" s="132">
        <v>-50000</v>
      </c>
      <c r="R45" s="132"/>
      <c r="S45" s="402"/>
      <c r="T45" s="402"/>
      <c r="U45" s="402"/>
      <c r="V45" s="402"/>
      <c r="W45" s="402"/>
      <c r="X45" s="402"/>
      <c r="Y45" s="402"/>
      <c r="Z45" s="159">
        <f t="shared" si="8"/>
        <v>-7500</v>
      </c>
      <c r="AA45" s="159">
        <f t="shared" si="9"/>
        <v>-18375</v>
      </c>
      <c r="AB45" s="159">
        <f t="shared" si="10"/>
        <v>-23118.75</v>
      </c>
      <c r="AC45" s="159"/>
      <c r="AD45" s="159"/>
      <c r="AE45" s="159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</row>
    <row r="46" spans="1:60" ht="12.75" hidden="1" customHeight="1" x14ac:dyDescent="0.2">
      <c r="A46" s="135" t="s">
        <v>70</v>
      </c>
      <c r="B46" s="135"/>
      <c r="C46" s="383"/>
      <c r="D46" s="383"/>
      <c r="E46" s="383"/>
      <c r="F46" s="384">
        <f t="shared" si="7"/>
        <v>-220000</v>
      </c>
      <c r="G46" s="405"/>
      <c r="H46" s="402"/>
      <c r="I46" s="405">
        <v>0</v>
      </c>
      <c r="J46" s="402">
        <v>0</v>
      </c>
      <c r="K46" s="402"/>
      <c r="L46" s="269"/>
      <c r="M46" s="269"/>
      <c r="N46" s="269"/>
      <c r="O46" s="290"/>
      <c r="P46" s="269"/>
      <c r="Q46" s="132"/>
      <c r="R46" s="132">
        <v>-20000</v>
      </c>
      <c r="S46" s="406">
        <v>-200000</v>
      </c>
      <c r="T46" s="406"/>
      <c r="U46" s="406"/>
      <c r="V46" s="406"/>
      <c r="W46" s="406"/>
      <c r="X46" s="406"/>
      <c r="Y46" s="406"/>
      <c r="Z46" s="159">
        <f t="shared" si="8"/>
        <v>0</v>
      </c>
      <c r="AA46" s="159">
        <f t="shared" si="9"/>
        <v>0</v>
      </c>
      <c r="AB46" s="159">
        <f t="shared" si="10"/>
        <v>0</v>
      </c>
      <c r="AC46" s="159"/>
      <c r="AD46" s="159"/>
      <c r="AE46" s="159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</row>
    <row r="47" spans="1:60" ht="12.75" customHeight="1" x14ac:dyDescent="0.2">
      <c r="A47" s="135" t="s">
        <v>207</v>
      </c>
      <c r="B47" s="135"/>
      <c r="C47" s="383">
        <v>8109</v>
      </c>
      <c r="D47" s="383">
        <v>8400</v>
      </c>
      <c r="E47" s="383">
        <v>7110</v>
      </c>
      <c r="F47" s="384">
        <f t="shared" si="7"/>
        <v>-428720</v>
      </c>
      <c r="G47" s="404">
        <v>-100000</v>
      </c>
      <c r="H47" s="402">
        <v>0</v>
      </c>
      <c r="I47" s="404">
        <v>-40000</v>
      </c>
      <c r="J47" s="402">
        <v>-28720</v>
      </c>
      <c r="K47" s="402"/>
      <c r="L47" s="347"/>
      <c r="M47" s="347">
        <v>-400000</v>
      </c>
      <c r="N47" s="347">
        <v>0</v>
      </c>
      <c r="O47" s="302"/>
      <c r="P47" s="347"/>
      <c r="Q47" s="132"/>
      <c r="R47" s="132"/>
      <c r="S47" s="402"/>
      <c r="T47" s="402"/>
      <c r="U47" s="402"/>
      <c r="V47" s="402"/>
      <c r="W47" s="402"/>
      <c r="X47" s="402"/>
      <c r="Y47" s="402"/>
      <c r="Z47" s="159">
        <f t="shared" si="8"/>
        <v>0</v>
      </c>
      <c r="AA47" s="159">
        <f t="shared" si="9"/>
        <v>-60000</v>
      </c>
      <c r="AB47" s="159">
        <f t="shared" si="10"/>
        <v>-51000</v>
      </c>
      <c r="AC47" s="159"/>
      <c r="AD47" s="159"/>
      <c r="AE47" s="159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</row>
    <row r="48" spans="1:60" ht="12.75" hidden="1" customHeight="1" x14ac:dyDescent="0.2">
      <c r="A48" s="187" t="s">
        <v>87</v>
      </c>
      <c r="B48" s="135"/>
      <c r="C48" s="383">
        <v>8124</v>
      </c>
      <c r="D48" s="383">
        <v>8400</v>
      </c>
      <c r="E48" s="383">
        <v>7110</v>
      </c>
      <c r="F48" s="384">
        <f t="shared" si="7"/>
        <v>-79253.95</v>
      </c>
      <c r="G48" s="402">
        <v>-60000</v>
      </c>
      <c r="H48" s="402">
        <v>0</v>
      </c>
      <c r="I48" s="402"/>
      <c r="J48" s="402">
        <v>-15818</v>
      </c>
      <c r="K48" s="402">
        <v>-60000</v>
      </c>
      <c r="L48" s="133">
        <v>-63435.95</v>
      </c>
      <c r="M48" s="133"/>
      <c r="N48" s="133"/>
      <c r="O48" s="136"/>
      <c r="P48" s="133"/>
      <c r="Q48" s="132"/>
      <c r="R48" s="132"/>
      <c r="S48" s="402"/>
      <c r="T48" s="402"/>
      <c r="U48" s="402"/>
      <c r="V48" s="402"/>
      <c r="W48" s="402"/>
      <c r="X48" s="402"/>
      <c r="Y48" s="402"/>
      <c r="Z48" s="159">
        <f t="shared" si="8"/>
        <v>-9000</v>
      </c>
      <c r="AA48" s="159">
        <f t="shared" si="9"/>
        <v>-7650</v>
      </c>
      <c r="AB48" s="159">
        <f t="shared" si="10"/>
        <v>-6502.5</v>
      </c>
      <c r="AC48" s="159"/>
      <c r="AD48" s="159"/>
      <c r="AE48" s="159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</row>
    <row r="49" spans="1:60" s="71" customFormat="1" ht="12.75" hidden="1" customHeight="1" x14ac:dyDescent="0.2">
      <c r="A49" s="135" t="s">
        <v>208</v>
      </c>
      <c r="B49" s="135" t="s">
        <v>7</v>
      </c>
      <c r="C49" s="383"/>
      <c r="D49" s="383"/>
      <c r="E49" s="383"/>
      <c r="F49" s="384">
        <f t="shared" si="7"/>
        <v>-19000</v>
      </c>
      <c r="G49" s="406">
        <v>-600000</v>
      </c>
      <c r="H49" s="406">
        <v>-19000</v>
      </c>
      <c r="I49" s="406">
        <v>0</v>
      </c>
      <c r="J49" s="406">
        <v>0</v>
      </c>
      <c r="K49" s="406"/>
      <c r="L49" s="133"/>
      <c r="M49" s="133"/>
      <c r="N49" s="133"/>
      <c r="O49" s="136"/>
      <c r="P49" s="133"/>
      <c r="Q49" s="132"/>
      <c r="R49" s="132"/>
      <c r="S49" s="406"/>
      <c r="T49" s="406"/>
      <c r="U49" s="406"/>
      <c r="V49" s="406"/>
      <c r="W49" s="406"/>
      <c r="X49" s="406"/>
      <c r="Y49" s="406"/>
      <c r="Z49" s="159">
        <f t="shared" si="8"/>
        <v>0</v>
      </c>
      <c r="AA49" s="159">
        <f t="shared" si="9"/>
        <v>0</v>
      </c>
      <c r="AB49" s="159">
        <f t="shared" si="10"/>
        <v>0</v>
      </c>
      <c r="AC49" s="159"/>
      <c r="AD49" s="159"/>
      <c r="AE49" s="159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5"/>
      <c r="BG49" s="125"/>
      <c r="BH49" s="125"/>
    </row>
    <row r="50" spans="1:60" ht="12.75" hidden="1" customHeight="1" x14ac:dyDescent="0.2">
      <c r="A50" s="135" t="s">
        <v>209</v>
      </c>
      <c r="B50" s="135"/>
      <c r="C50" s="383"/>
      <c r="D50" s="383"/>
      <c r="E50" s="383"/>
      <c r="F50" s="384">
        <f t="shared" si="7"/>
        <v>0</v>
      </c>
      <c r="G50" s="406">
        <v>-20000</v>
      </c>
      <c r="H50" s="406">
        <v>0</v>
      </c>
      <c r="I50" s="406"/>
      <c r="J50" s="406"/>
      <c r="K50" s="406"/>
      <c r="L50" s="133"/>
      <c r="M50" s="133"/>
      <c r="N50" s="133"/>
      <c r="O50" s="136"/>
      <c r="P50" s="133"/>
      <c r="Q50" s="132"/>
      <c r="R50" s="132"/>
      <c r="S50" s="406"/>
      <c r="T50" s="406"/>
      <c r="U50" s="406"/>
      <c r="V50" s="406"/>
      <c r="W50" s="406"/>
      <c r="X50" s="406"/>
      <c r="Y50" s="406"/>
      <c r="Z50" s="159"/>
      <c r="AA50" s="159"/>
      <c r="AB50" s="159"/>
      <c r="AC50" s="159"/>
      <c r="AD50" s="159"/>
      <c r="AE50" s="159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</row>
    <row r="51" spans="1:60" ht="12.75" customHeight="1" x14ac:dyDescent="0.2">
      <c r="A51" s="135" t="s">
        <v>82</v>
      </c>
      <c r="B51" s="135"/>
      <c r="C51" s="383">
        <v>8155</v>
      </c>
      <c r="D51" s="383">
        <v>8400</v>
      </c>
      <c r="E51" s="383">
        <v>7110</v>
      </c>
      <c r="F51" s="384">
        <f t="shared" si="7"/>
        <v>-220000</v>
      </c>
      <c r="G51" s="402"/>
      <c r="H51" s="402"/>
      <c r="I51" s="402"/>
      <c r="J51" s="402"/>
      <c r="K51" s="402"/>
      <c r="L51" s="297"/>
      <c r="M51" s="297">
        <v>-20000</v>
      </c>
      <c r="N51" s="297">
        <v>0</v>
      </c>
      <c r="O51" s="268"/>
      <c r="P51" s="297"/>
      <c r="Q51" s="132">
        <v>-200000</v>
      </c>
      <c r="R51" s="132"/>
      <c r="S51" s="402"/>
      <c r="T51" s="402"/>
      <c r="U51" s="402"/>
      <c r="V51" s="402"/>
      <c r="W51" s="402"/>
      <c r="X51" s="402"/>
      <c r="Y51" s="402"/>
      <c r="Z51" s="159">
        <f t="shared" ref="Z51:Z59" si="11">K51*0.15</f>
        <v>0</v>
      </c>
      <c r="AA51" s="159">
        <f t="shared" ref="AA51:AA59" si="12">M51*0.15+(K51-Z51)*0.15</f>
        <v>-3000</v>
      </c>
      <c r="AB51" s="159">
        <f t="shared" ref="AB51:AB59" si="13">Q51*0.15+(M51-M51*0.15)*0.15+(K51-Z51-(K51-Z51)*0.15)*0.15</f>
        <v>-32550</v>
      </c>
      <c r="AC51" s="159"/>
      <c r="AD51" s="159"/>
      <c r="AE51" s="159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</row>
    <row r="52" spans="1:60" ht="12.75" hidden="1" customHeight="1" x14ac:dyDescent="0.2">
      <c r="A52" s="135" t="s">
        <v>264</v>
      </c>
      <c r="B52" s="135"/>
      <c r="C52" s="383">
        <v>8125</v>
      </c>
      <c r="D52" s="383">
        <v>8400</v>
      </c>
      <c r="E52" s="383">
        <v>7110</v>
      </c>
      <c r="F52" s="384">
        <f t="shared" si="7"/>
        <v>-253201.63</v>
      </c>
      <c r="G52" s="402">
        <v>-5000</v>
      </c>
      <c r="H52" s="402">
        <v>0</v>
      </c>
      <c r="I52" s="402">
        <v>-10000</v>
      </c>
      <c r="J52" s="402">
        <v>0</v>
      </c>
      <c r="K52" s="159">
        <v>0</v>
      </c>
      <c r="L52" s="133">
        <v>-3201.63</v>
      </c>
      <c r="M52" s="133"/>
      <c r="N52" s="133"/>
      <c r="O52" s="136"/>
      <c r="P52" s="133"/>
      <c r="Q52" s="132">
        <v>-250000</v>
      </c>
      <c r="R52" s="132"/>
      <c r="S52" s="402"/>
      <c r="T52" s="402"/>
      <c r="U52" s="402"/>
      <c r="V52" s="402"/>
      <c r="W52" s="402"/>
      <c r="X52" s="402"/>
      <c r="Y52" s="402"/>
      <c r="Z52" s="159">
        <f t="shared" si="11"/>
        <v>0</v>
      </c>
      <c r="AA52" s="159">
        <f t="shared" si="12"/>
        <v>0</v>
      </c>
      <c r="AB52" s="159">
        <f t="shared" si="13"/>
        <v>-37500</v>
      </c>
      <c r="AC52" s="159"/>
      <c r="AD52" s="159"/>
      <c r="AE52" s="159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</row>
    <row r="53" spans="1:60" ht="12.75" customHeight="1" x14ac:dyDescent="0.2">
      <c r="A53" s="135" t="s">
        <v>210</v>
      </c>
      <c r="B53" s="135"/>
      <c r="C53" s="383">
        <v>8126</v>
      </c>
      <c r="D53" s="383">
        <v>8400</v>
      </c>
      <c r="E53" s="383">
        <v>7110</v>
      </c>
      <c r="F53" s="384">
        <f t="shared" si="7"/>
        <v>-600000</v>
      </c>
      <c r="G53" s="402"/>
      <c r="H53" s="402"/>
      <c r="I53" s="402"/>
      <c r="J53" s="402"/>
      <c r="K53" s="159">
        <v>-10000</v>
      </c>
      <c r="L53" s="133">
        <v>0</v>
      </c>
      <c r="M53" s="133">
        <v>-600000</v>
      </c>
      <c r="N53" s="133">
        <v>0</v>
      </c>
      <c r="O53" s="136"/>
      <c r="P53" s="133"/>
      <c r="Q53" s="132"/>
      <c r="R53" s="132"/>
      <c r="S53" s="402"/>
      <c r="T53" s="402"/>
      <c r="U53" s="402"/>
      <c r="V53" s="402"/>
      <c r="W53" s="402"/>
      <c r="X53" s="402"/>
      <c r="Y53" s="402"/>
      <c r="Z53" s="159">
        <f t="shared" si="11"/>
        <v>-1500</v>
      </c>
      <c r="AA53" s="159">
        <f t="shared" si="12"/>
        <v>-91275</v>
      </c>
      <c r="AB53" s="159">
        <f t="shared" si="13"/>
        <v>-77583.75</v>
      </c>
      <c r="AC53" s="159"/>
      <c r="AD53" s="159"/>
      <c r="AE53" s="159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</row>
    <row r="54" spans="1:60" ht="12.75" customHeight="1" x14ac:dyDescent="0.2">
      <c r="A54" s="135" t="s">
        <v>79</v>
      </c>
      <c r="B54" s="135"/>
      <c r="C54" s="383">
        <v>8110</v>
      </c>
      <c r="D54" s="383">
        <v>8400</v>
      </c>
      <c r="E54" s="383">
        <v>7110</v>
      </c>
      <c r="F54" s="384">
        <f t="shared" si="7"/>
        <v>-179796</v>
      </c>
      <c r="G54" s="402"/>
      <c r="H54" s="402"/>
      <c r="I54" s="402">
        <v>-150000</v>
      </c>
      <c r="J54" s="402">
        <v>-29796</v>
      </c>
      <c r="K54" s="402">
        <v>0</v>
      </c>
      <c r="L54" s="133">
        <v>0</v>
      </c>
      <c r="M54" s="133">
        <v>-150000</v>
      </c>
      <c r="N54" s="133">
        <v>0</v>
      </c>
      <c r="O54" s="136"/>
      <c r="P54" s="133"/>
      <c r="Q54" s="132"/>
      <c r="R54" s="132"/>
      <c r="S54" s="402"/>
      <c r="T54" s="402"/>
      <c r="U54" s="402"/>
      <c r="V54" s="402"/>
      <c r="W54" s="402"/>
      <c r="X54" s="402"/>
      <c r="Y54" s="402"/>
      <c r="Z54" s="159">
        <f t="shared" si="11"/>
        <v>0</v>
      </c>
      <c r="AA54" s="159">
        <f t="shared" si="12"/>
        <v>-22500</v>
      </c>
      <c r="AB54" s="159">
        <f t="shared" si="13"/>
        <v>-19125</v>
      </c>
      <c r="AC54" s="159"/>
      <c r="AD54" s="159"/>
      <c r="AE54" s="159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</row>
    <row r="55" spans="1:60" ht="12.75" customHeight="1" x14ac:dyDescent="0.2">
      <c r="A55" s="135" t="s">
        <v>98</v>
      </c>
      <c r="B55" s="135" t="s">
        <v>55</v>
      </c>
      <c r="C55" s="383">
        <v>8104</v>
      </c>
      <c r="D55" s="383">
        <v>8400</v>
      </c>
      <c r="E55" s="383">
        <v>7120</v>
      </c>
      <c r="F55" s="384">
        <f t="shared" si="7"/>
        <v>-116330</v>
      </c>
      <c r="G55" s="402">
        <v>-20000</v>
      </c>
      <c r="H55" s="402">
        <v>0</v>
      </c>
      <c r="I55" s="402">
        <v>-20000</v>
      </c>
      <c r="J55" s="402">
        <v>-22275</v>
      </c>
      <c r="K55" s="402">
        <v>-30000</v>
      </c>
      <c r="L55" s="133">
        <v>-24055</v>
      </c>
      <c r="M55" s="133">
        <v>-40000</v>
      </c>
      <c r="N55" s="133">
        <v>0</v>
      </c>
      <c r="O55" s="136"/>
      <c r="P55" s="133"/>
      <c r="Q55" s="132">
        <v>-30000</v>
      </c>
      <c r="R55" s="132"/>
      <c r="S55" s="402"/>
      <c r="T55" s="402"/>
      <c r="U55" s="402"/>
      <c r="V55" s="402"/>
      <c r="W55" s="402"/>
      <c r="X55" s="402"/>
      <c r="Y55" s="402"/>
      <c r="Z55" s="159">
        <f t="shared" si="11"/>
        <v>-4500</v>
      </c>
      <c r="AA55" s="159">
        <f t="shared" si="12"/>
        <v>-9825</v>
      </c>
      <c r="AB55" s="159">
        <f t="shared" si="13"/>
        <v>-12851.25</v>
      </c>
      <c r="AC55" s="159"/>
      <c r="AD55" s="159"/>
      <c r="AE55" s="159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</row>
    <row r="56" spans="1:60" ht="12.75" hidden="1" customHeight="1" x14ac:dyDescent="0.2">
      <c r="A56" s="187" t="s">
        <v>90</v>
      </c>
      <c r="B56" s="135"/>
      <c r="C56" s="383">
        <v>8117</v>
      </c>
      <c r="D56" s="383">
        <v>8400</v>
      </c>
      <c r="E56" s="383">
        <v>7110</v>
      </c>
      <c r="F56" s="384">
        <f t="shared" si="7"/>
        <v>-79441</v>
      </c>
      <c r="G56" s="402">
        <v>0</v>
      </c>
      <c r="H56" s="402">
        <v>-2008</v>
      </c>
      <c r="I56" s="402">
        <v>-30000</v>
      </c>
      <c r="J56" s="402">
        <v>-77433</v>
      </c>
      <c r="K56" s="402"/>
      <c r="L56" s="133"/>
      <c r="M56" s="133"/>
      <c r="N56" s="133"/>
      <c r="O56" s="136"/>
      <c r="P56" s="133"/>
      <c r="Q56" s="132"/>
      <c r="R56" s="132"/>
      <c r="S56" s="402"/>
      <c r="T56" s="402"/>
      <c r="U56" s="402"/>
      <c r="V56" s="402"/>
      <c r="W56" s="402"/>
      <c r="X56" s="402"/>
      <c r="Y56" s="402"/>
      <c r="Z56" s="159">
        <f t="shared" si="11"/>
        <v>0</v>
      </c>
      <c r="AA56" s="159">
        <f t="shared" si="12"/>
        <v>0</v>
      </c>
      <c r="AB56" s="159">
        <f t="shared" si="13"/>
        <v>0</v>
      </c>
      <c r="AC56" s="159"/>
      <c r="AD56" s="159"/>
      <c r="AE56" s="159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</row>
    <row r="57" spans="1:60" s="61" customFormat="1" ht="12.75" customHeight="1" x14ac:dyDescent="0.2">
      <c r="A57" s="314" t="s">
        <v>58</v>
      </c>
      <c r="B57" s="314" t="s">
        <v>55</v>
      </c>
      <c r="C57" s="407">
        <v>8108</v>
      </c>
      <c r="D57" s="407">
        <v>8400</v>
      </c>
      <c r="E57" s="407">
        <v>7110</v>
      </c>
      <c r="F57" s="384">
        <f t="shared" si="7"/>
        <v>-237633.89</v>
      </c>
      <c r="G57" s="402">
        <v>-100000</v>
      </c>
      <c r="H57" s="402">
        <v>-73267</v>
      </c>
      <c r="I57" s="402">
        <v>-220000</v>
      </c>
      <c r="J57" s="402">
        <v>-89793</v>
      </c>
      <c r="K57" s="159">
        <v>-150000</v>
      </c>
      <c r="L57" s="133">
        <v>-14573.89</v>
      </c>
      <c r="M57" s="133">
        <v>-60000</v>
      </c>
      <c r="N57" s="133">
        <v>0</v>
      </c>
      <c r="O57" s="136"/>
      <c r="P57" s="133"/>
      <c r="Q57" s="132"/>
      <c r="R57" s="132"/>
      <c r="S57" s="402"/>
      <c r="T57" s="402"/>
      <c r="U57" s="402"/>
      <c r="V57" s="402"/>
      <c r="W57" s="402"/>
      <c r="X57" s="402"/>
      <c r="Y57" s="402"/>
      <c r="Z57" s="402">
        <f t="shared" si="11"/>
        <v>-22500</v>
      </c>
      <c r="AA57" s="402">
        <f t="shared" si="12"/>
        <v>-28125</v>
      </c>
      <c r="AB57" s="402">
        <f t="shared" si="13"/>
        <v>-23906.25</v>
      </c>
      <c r="AC57" s="402"/>
      <c r="AD57" s="402"/>
      <c r="AE57" s="40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</row>
    <row r="58" spans="1:60" s="61" customFormat="1" ht="12.75" customHeight="1" x14ac:dyDescent="0.2">
      <c r="A58" s="314" t="s">
        <v>212</v>
      </c>
      <c r="B58" s="314"/>
      <c r="C58" s="407">
        <v>8156</v>
      </c>
      <c r="D58" s="407">
        <v>8400</v>
      </c>
      <c r="E58" s="407">
        <v>7110</v>
      </c>
      <c r="F58" s="384">
        <f t="shared" si="7"/>
        <v>-200000</v>
      </c>
      <c r="G58" s="402"/>
      <c r="H58" s="402"/>
      <c r="I58" s="402"/>
      <c r="J58" s="402"/>
      <c r="K58" s="402"/>
      <c r="L58" s="133"/>
      <c r="M58" s="133">
        <v>-200000</v>
      </c>
      <c r="N58" s="133">
        <v>0</v>
      </c>
      <c r="O58" s="136"/>
      <c r="P58" s="133"/>
      <c r="Q58" s="132"/>
      <c r="R58" s="132"/>
      <c r="S58" s="402"/>
      <c r="T58" s="402"/>
      <c r="U58" s="402"/>
      <c r="V58" s="402"/>
      <c r="W58" s="402"/>
      <c r="X58" s="402"/>
      <c r="Y58" s="402"/>
      <c r="Z58" s="402">
        <f t="shared" si="11"/>
        <v>0</v>
      </c>
      <c r="AA58" s="402">
        <f t="shared" si="12"/>
        <v>-30000</v>
      </c>
      <c r="AB58" s="402">
        <f t="shared" si="13"/>
        <v>-25500</v>
      </c>
      <c r="AC58" s="402"/>
      <c r="AD58" s="402"/>
      <c r="AE58" s="40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82"/>
    </row>
    <row r="59" spans="1:60" s="61" customFormat="1" ht="12.75" customHeight="1" x14ac:dyDescent="0.2">
      <c r="A59" s="314" t="s">
        <v>213</v>
      </c>
      <c r="B59" s="314"/>
      <c r="C59" s="407">
        <v>8157</v>
      </c>
      <c r="D59" s="407">
        <v>8400</v>
      </c>
      <c r="E59" s="407">
        <v>7110</v>
      </c>
      <c r="F59" s="384">
        <f t="shared" si="7"/>
        <v>-100000</v>
      </c>
      <c r="G59" s="402"/>
      <c r="H59" s="402"/>
      <c r="I59" s="402"/>
      <c r="J59" s="402"/>
      <c r="K59" s="402"/>
      <c r="L59" s="133"/>
      <c r="M59" s="133">
        <v>-100000</v>
      </c>
      <c r="N59" s="133">
        <v>0</v>
      </c>
      <c r="O59" s="136"/>
      <c r="P59" s="133"/>
      <c r="Q59" s="132"/>
      <c r="R59" s="132"/>
      <c r="S59" s="402"/>
      <c r="T59" s="402"/>
      <c r="U59" s="402"/>
      <c r="V59" s="402"/>
      <c r="W59" s="402"/>
      <c r="X59" s="402"/>
      <c r="Y59" s="402"/>
      <c r="Z59" s="402">
        <f t="shared" si="11"/>
        <v>0</v>
      </c>
      <c r="AA59" s="402">
        <f t="shared" si="12"/>
        <v>-15000</v>
      </c>
      <c r="AB59" s="402">
        <f t="shared" si="13"/>
        <v>-12750</v>
      </c>
      <c r="AC59" s="402"/>
      <c r="AD59" s="402"/>
      <c r="AE59" s="40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</row>
    <row r="60" spans="1:60" s="61" customFormat="1" ht="12.75" hidden="1" customHeight="1" x14ac:dyDescent="0.2">
      <c r="A60" s="314" t="s">
        <v>214</v>
      </c>
      <c r="B60" s="314"/>
      <c r="C60" s="407"/>
      <c r="D60" s="407"/>
      <c r="E60" s="407"/>
      <c r="F60" s="384">
        <f t="shared" si="7"/>
        <v>0</v>
      </c>
      <c r="G60" s="402">
        <v>-30000</v>
      </c>
      <c r="H60" s="402">
        <v>0</v>
      </c>
      <c r="I60" s="402"/>
      <c r="J60" s="402"/>
      <c r="K60" s="402"/>
      <c r="L60" s="133"/>
      <c r="M60" s="133"/>
      <c r="N60" s="133"/>
      <c r="O60" s="136"/>
      <c r="P60" s="133"/>
      <c r="Q60" s="132"/>
      <c r="R60" s="132"/>
      <c r="S60" s="402"/>
      <c r="T60" s="402"/>
      <c r="U60" s="402"/>
      <c r="V60" s="402"/>
      <c r="W60" s="402"/>
      <c r="X60" s="402"/>
      <c r="Y60" s="402"/>
      <c r="Z60" s="402"/>
      <c r="AA60" s="402"/>
      <c r="AB60" s="402"/>
      <c r="AC60" s="402"/>
      <c r="AD60" s="402"/>
      <c r="AE60" s="40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</row>
    <row r="61" spans="1:60" s="61" customFormat="1" ht="12.75" customHeight="1" x14ac:dyDescent="0.2">
      <c r="A61" s="314" t="s">
        <v>215</v>
      </c>
      <c r="B61" s="314"/>
      <c r="C61" s="407">
        <v>8158</v>
      </c>
      <c r="D61" s="407">
        <v>8400</v>
      </c>
      <c r="E61" s="407">
        <v>7110</v>
      </c>
      <c r="F61" s="384">
        <f t="shared" si="7"/>
        <v>-150000</v>
      </c>
      <c r="G61" s="402"/>
      <c r="H61" s="402"/>
      <c r="I61" s="402"/>
      <c r="J61" s="402"/>
      <c r="K61" s="402"/>
      <c r="L61" s="133"/>
      <c r="M61" s="133">
        <v>-150000</v>
      </c>
      <c r="N61" s="133">
        <v>0</v>
      </c>
      <c r="O61" s="136"/>
      <c r="P61" s="133"/>
      <c r="Q61" s="132"/>
      <c r="R61" s="132"/>
      <c r="S61" s="402"/>
      <c r="T61" s="402"/>
      <c r="U61" s="402"/>
      <c r="V61" s="402"/>
      <c r="W61" s="402"/>
      <c r="X61" s="402"/>
      <c r="Y61" s="402"/>
      <c r="Z61" s="402">
        <f>K61*0.15</f>
        <v>0</v>
      </c>
      <c r="AA61" s="402">
        <f>M61*0.15+(K61-Z61)*0.15</f>
        <v>-22500</v>
      </c>
      <c r="AB61" s="402">
        <f>Q61*0.15+(M61-M61*0.15)*0.15+(K61-Z61-(K61-Z61)*0.15)*0.15</f>
        <v>-19125</v>
      </c>
      <c r="AC61" s="402"/>
      <c r="AD61" s="402"/>
      <c r="AE61" s="40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</row>
    <row r="62" spans="1:60" s="57" customFormat="1" ht="12.75" customHeight="1" x14ac:dyDescent="0.2">
      <c r="A62" s="263" t="s">
        <v>219</v>
      </c>
      <c r="B62" s="263"/>
      <c r="C62" s="342"/>
      <c r="D62" s="342"/>
      <c r="E62" s="342"/>
      <c r="F62" s="389">
        <f>SUM(F42:F61)</f>
        <v>-3504976.31</v>
      </c>
      <c r="G62" s="390">
        <f>SUM(G42:G61)</f>
        <v>-985000</v>
      </c>
      <c r="H62" s="390">
        <f t="shared" ref="H62:AE62" si="14">SUM(H42:H61)</f>
        <v>-142533</v>
      </c>
      <c r="I62" s="390">
        <f t="shared" si="14"/>
        <v>-520000</v>
      </c>
      <c r="J62" s="390">
        <f t="shared" si="14"/>
        <v>-330656</v>
      </c>
      <c r="K62" s="390">
        <f t="shared" si="14"/>
        <v>-377381</v>
      </c>
      <c r="L62" s="271">
        <f>SUM(L42:L61)</f>
        <v>-231787.31</v>
      </c>
      <c r="M62" s="271">
        <f t="shared" si="14"/>
        <v>-1850000</v>
      </c>
      <c r="N62" s="271">
        <f>SUM(N42:N61)</f>
        <v>0</v>
      </c>
      <c r="O62" s="264"/>
      <c r="P62" s="271"/>
      <c r="Q62" s="271">
        <f t="shared" si="14"/>
        <v>-730000</v>
      </c>
      <c r="R62" s="271">
        <f t="shared" si="14"/>
        <v>-20000</v>
      </c>
      <c r="S62" s="271">
        <f t="shared" si="14"/>
        <v>-200000</v>
      </c>
      <c r="T62" s="271">
        <f t="shared" si="14"/>
        <v>0</v>
      </c>
      <c r="U62" s="271">
        <f t="shared" si="14"/>
        <v>0</v>
      </c>
      <c r="V62" s="271">
        <f t="shared" si="14"/>
        <v>0</v>
      </c>
      <c r="W62" s="271">
        <f t="shared" si="14"/>
        <v>0</v>
      </c>
      <c r="X62" s="271">
        <f t="shared" si="14"/>
        <v>0</v>
      </c>
      <c r="Y62" s="271">
        <f t="shared" si="14"/>
        <v>0</v>
      </c>
      <c r="Z62" s="271">
        <f t="shared" si="14"/>
        <v>-56607.15</v>
      </c>
      <c r="AA62" s="271">
        <f t="shared" si="14"/>
        <v>-325616.07750000001</v>
      </c>
      <c r="AB62" s="271">
        <f t="shared" si="14"/>
        <v>-386273.66587500001</v>
      </c>
      <c r="AC62" s="271">
        <f t="shared" si="14"/>
        <v>0</v>
      </c>
      <c r="AD62" s="271">
        <f t="shared" si="14"/>
        <v>0</v>
      </c>
      <c r="AE62" s="271">
        <f t="shared" si="14"/>
        <v>0</v>
      </c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</row>
    <row r="63" spans="1:60" s="7" customFormat="1" ht="12.75" customHeight="1" x14ac:dyDescent="0.2">
      <c r="A63" s="149"/>
      <c r="B63" s="149"/>
      <c r="C63" s="148"/>
      <c r="D63" s="148"/>
      <c r="E63" s="148"/>
      <c r="F63" s="397"/>
      <c r="G63" s="146"/>
      <c r="H63" s="146"/>
      <c r="I63" s="146"/>
      <c r="J63" s="146"/>
      <c r="K63" s="408"/>
      <c r="L63" s="275"/>
      <c r="M63" s="275"/>
      <c r="N63" s="275"/>
      <c r="O63" s="254"/>
      <c r="P63" s="275"/>
      <c r="Q63" s="275"/>
      <c r="R63" s="275"/>
      <c r="S63" s="275"/>
      <c r="T63" s="275"/>
      <c r="U63" s="275"/>
      <c r="V63" s="275"/>
      <c r="W63" s="275"/>
      <c r="X63" s="275"/>
      <c r="Y63" s="275"/>
      <c r="Z63" s="275"/>
      <c r="AA63" s="275"/>
      <c r="AB63" s="275"/>
      <c r="AC63" s="275"/>
      <c r="AD63" s="275"/>
      <c r="AE63" s="275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</row>
    <row r="64" spans="1:60" ht="27.75" customHeight="1" x14ac:dyDescent="0.2">
      <c r="A64" s="244"/>
      <c r="B64" s="244" t="s">
        <v>2</v>
      </c>
      <c r="C64" s="372" t="s">
        <v>258</v>
      </c>
      <c r="D64" s="249" t="s">
        <v>137</v>
      </c>
      <c r="E64" s="249" t="s">
        <v>138</v>
      </c>
      <c r="F64" s="373" t="s">
        <v>3</v>
      </c>
      <c r="G64" s="249" t="s">
        <v>140</v>
      </c>
      <c r="H64" s="249" t="s">
        <v>141</v>
      </c>
      <c r="I64" s="249" t="s">
        <v>142</v>
      </c>
      <c r="J64" s="249" t="s">
        <v>143</v>
      </c>
      <c r="K64" s="249" t="s">
        <v>144</v>
      </c>
      <c r="L64" s="371" t="s">
        <v>145</v>
      </c>
      <c r="M64" s="371" t="s">
        <v>146</v>
      </c>
      <c r="N64" s="371" t="s">
        <v>259</v>
      </c>
      <c r="O64" s="371"/>
      <c r="P64" s="371"/>
      <c r="Q64" s="371" t="str">
        <f>Q2</f>
        <v>TS 2023</v>
      </c>
      <c r="R64" s="371" t="str">
        <f>R2</f>
        <v>TS 2024</v>
      </c>
      <c r="S64" s="249">
        <v>2025</v>
      </c>
      <c r="T64" s="249">
        <v>2026</v>
      </c>
      <c r="U64" s="249">
        <v>2027</v>
      </c>
      <c r="V64" s="249">
        <v>2028</v>
      </c>
      <c r="W64" s="249">
        <v>2029</v>
      </c>
      <c r="X64" s="249">
        <v>2030</v>
      </c>
      <c r="Y64" s="249">
        <v>2031</v>
      </c>
      <c r="Z64" s="159"/>
      <c r="AA64" s="159"/>
      <c r="AB64" s="159">
        <f>SUM(K62:Q62)*0.15</f>
        <v>-478375.24650000001</v>
      </c>
      <c r="AC64" s="159"/>
      <c r="AD64" s="159"/>
      <c r="AE64" s="159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</row>
    <row r="65" spans="1:60" s="57" customFormat="1" ht="12.75" customHeight="1" x14ac:dyDescent="0.2">
      <c r="A65" s="263" t="s">
        <v>220</v>
      </c>
      <c r="B65" s="263"/>
      <c r="C65" s="342"/>
      <c r="D65" s="342"/>
      <c r="E65" s="342"/>
      <c r="F65" s="395"/>
      <c r="G65" s="390"/>
      <c r="H65" s="390"/>
      <c r="I65" s="390"/>
      <c r="J65" s="390"/>
      <c r="K65" s="390"/>
      <c r="L65" s="271"/>
      <c r="M65" s="271"/>
      <c r="N65" s="271"/>
      <c r="O65" s="264"/>
      <c r="P65" s="271"/>
      <c r="Q65" s="271"/>
      <c r="R65" s="271"/>
      <c r="S65" s="390"/>
      <c r="T65" s="390"/>
      <c r="U65" s="390"/>
      <c r="V65" s="390"/>
      <c r="W65" s="390"/>
      <c r="X65" s="390"/>
      <c r="Y65" s="390"/>
      <c r="Z65" s="390"/>
      <c r="AA65" s="390"/>
      <c r="AB65" s="390"/>
      <c r="AC65" s="390"/>
      <c r="AD65" s="390"/>
      <c r="AE65" s="390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</row>
    <row r="66" spans="1:60" ht="12.75" hidden="1" customHeight="1" x14ac:dyDescent="0.2">
      <c r="A66" s="135" t="s">
        <v>102</v>
      </c>
      <c r="B66" s="135" t="s">
        <v>221</v>
      </c>
      <c r="C66" s="383">
        <v>8133</v>
      </c>
      <c r="D66" s="383">
        <v>8420</v>
      </c>
      <c r="E66" s="383">
        <v>7147</v>
      </c>
      <c r="F66" s="384">
        <f t="shared" ref="F66:F78" si="15">SUM(H66,J66,L66:S66)</f>
        <v>-14832.67</v>
      </c>
      <c r="G66" s="159">
        <v>0</v>
      </c>
      <c r="H66" s="159">
        <v>2400</v>
      </c>
      <c r="I66" s="159">
        <v>-10000</v>
      </c>
      <c r="J66" s="159">
        <v>-13124</v>
      </c>
      <c r="K66" s="159">
        <v>0</v>
      </c>
      <c r="L66" s="133">
        <v>-4108.67</v>
      </c>
      <c r="M66" s="133"/>
      <c r="N66" s="133"/>
      <c r="O66" s="136"/>
      <c r="P66" s="133"/>
      <c r="Q66" s="133"/>
      <c r="R66" s="133"/>
      <c r="S66" s="159"/>
      <c r="T66" s="159"/>
      <c r="U66" s="159"/>
      <c r="V66" s="159"/>
      <c r="W66" s="159"/>
      <c r="X66" s="159"/>
      <c r="Y66" s="159"/>
      <c r="Z66" s="159"/>
      <c r="AA66" s="159"/>
      <c r="AB66" s="159"/>
      <c r="AC66" s="159"/>
      <c r="AD66" s="159"/>
      <c r="AE66" s="159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</row>
    <row r="67" spans="1:60" ht="12.75" hidden="1" customHeight="1" x14ac:dyDescent="0.2">
      <c r="A67" s="135" t="s">
        <v>102</v>
      </c>
      <c r="B67" s="135" t="s">
        <v>221</v>
      </c>
      <c r="C67" s="383">
        <v>8133</v>
      </c>
      <c r="D67" s="383">
        <v>8420</v>
      </c>
      <c r="E67" s="383">
        <v>7147</v>
      </c>
      <c r="F67" s="384">
        <f t="shared" si="15"/>
        <v>-1715</v>
      </c>
      <c r="G67" s="159">
        <v>-20000</v>
      </c>
      <c r="H67" s="159">
        <v>-5715</v>
      </c>
      <c r="I67" s="159">
        <v>0</v>
      </c>
      <c r="J67" s="159">
        <v>4000</v>
      </c>
      <c r="K67" s="159"/>
      <c r="L67" s="133"/>
      <c r="M67" s="133"/>
      <c r="N67" s="133"/>
      <c r="O67" s="136"/>
      <c r="P67" s="133"/>
      <c r="Q67" s="133"/>
      <c r="R67" s="133"/>
      <c r="S67" s="159"/>
      <c r="T67" s="159"/>
      <c r="U67" s="159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</row>
    <row r="68" spans="1:60" ht="12.75" hidden="1" customHeight="1" x14ac:dyDescent="0.2">
      <c r="A68" s="135" t="s">
        <v>222</v>
      </c>
      <c r="B68" s="135" t="s">
        <v>221</v>
      </c>
      <c r="C68" s="383">
        <v>8145</v>
      </c>
      <c r="D68" s="383">
        <v>8420</v>
      </c>
      <c r="E68" s="383">
        <v>7153</v>
      </c>
      <c r="F68" s="384">
        <f t="shared" si="15"/>
        <v>-23697.3</v>
      </c>
      <c r="G68" s="159"/>
      <c r="H68" s="159"/>
      <c r="I68" s="159"/>
      <c r="J68" s="159"/>
      <c r="K68" s="159">
        <v>-15000</v>
      </c>
      <c r="L68" s="133">
        <v>-23697.3</v>
      </c>
      <c r="M68" s="133"/>
      <c r="N68" s="133"/>
      <c r="O68" s="136"/>
      <c r="P68" s="133"/>
      <c r="Q68" s="133"/>
      <c r="R68" s="133"/>
      <c r="S68" s="159"/>
      <c r="T68" s="159"/>
      <c r="U68" s="159"/>
      <c r="V68" s="159"/>
      <c r="W68" s="159"/>
      <c r="X68" s="159"/>
      <c r="Y68" s="159"/>
      <c r="Z68" s="159"/>
      <c r="AA68" s="159"/>
      <c r="AB68" s="159"/>
      <c r="AC68" s="159"/>
      <c r="AD68" s="159"/>
      <c r="AE68" s="159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</row>
    <row r="69" spans="1:60" ht="12.75" hidden="1" customHeight="1" x14ac:dyDescent="0.2">
      <c r="A69" s="187" t="s">
        <v>105</v>
      </c>
      <c r="B69" s="135" t="s">
        <v>221</v>
      </c>
      <c r="C69" s="383">
        <v>8159</v>
      </c>
      <c r="D69" s="383">
        <v>8320</v>
      </c>
      <c r="E69" s="383">
        <v>7216</v>
      </c>
      <c r="F69" s="384">
        <f t="shared" si="15"/>
        <v>-32100</v>
      </c>
      <c r="G69" s="159">
        <v>-35000</v>
      </c>
      <c r="H69" s="159">
        <v>-32100</v>
      </c>
      <c r="I69" s="159"/>
      <c r="J69" s="159"/>
      <c r="K69" s="159"/>
      <c r="L69" s="133"/>
      <c r="M69" s="133"/>
      <c r="N69" s="133"/>
      <c r="O69" s="136"/>
      <c r="P69" s="133"/>
      <c r="Q69" s="133"/>
      <c r="R69" s="133"/>
      <c r="S69" s="159"/>
      <c r="T69" s="159"/>
      <c r="U69" s="159"/>
      <c r="V69" s="159"/>
      <c r="W69" s="159"/>
      <c r="X69" s="159"/>
      <c r="Y69" s="159"/>
      <c r="Z69" s="159"/>
      <c r="AA69" s="159"/>
      <c r="AB69" s="159"/>
      <c r="AC69" s="159"/>
      <c r="AD69" s="159"/>
      <c r="AE69" s="159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</row>
    <row r="70" spans="1:60" ht="12.75" hidden="1" customHeight="1" x14ac:dyDescent="0.2">
      <c r="A70" s="135" t="s">
        <v>111</v>
      </c>
      <c r="B70" s="135" t="s">
        <v>221</v>
      </c>
      <c r="C70" s="383">
        <v>8112</v>
      </c>
      <c r="D70" s="383">
        <v>8410</v>
      </c>
      <c r="E70" s="383">
        <v>7130</v>
      </c>
      <c r="F70" s="384">
        <f t="shared" si="15"/>
        <v>-11740</v>
      </c>
      <c r="G70" s="159">
        <v>-12000</v>
      </c>
      <c r="H70" s="159">
        <v>-2962</v>
      </c>
      <c r="I70" s="159">
        <v>-10000</v>
      </c>
      <c r="J70" s="159">
        <v>-8778</v>
      </c>
      <c r="K70" s="159"/>
      <c r="L70" s="133"/>
      <c r="M70" s="133"/>
      <c r="N70" s="133"/>
      <c r="O70" s="136"/>
      <c r="P70" s="133"/>
      <c r="Q70" s="133"/>
      <c r="R70" s="133"/>
      <c r="S70" s="159"/>
      <c r="T70" s="159"/>
      <c r="U70" s="159"/>
      <c r="V70" s="159"/>
      <c r="W70" s="159"/>
      <c r="X70" s="159"/>
      <c r="Y70" s="159"/>
      <c r="Z70" s="159"/>
      <c r="AA70" s="159"/>
      <c r="AB70" s="159"/>
      <c r="AC70" s="159"/>
      <c r="AD70" s="159"/>
      <c r="AE70" s="159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</row>
    <row r="71" spans="1:60" ht="12.75" hidden="1" customHeight="1" x14ac:dyDescent="0.2">
      <c r="A71" s="187" t="s">
        <v>107</v>
      </c>
      <c r="B71" s="135" t="s">
        <v>221</v>
      </c>
      <c r="C71" s="383">
        <v>8127</v>
      </c>
      <c r="D71" s="383">
        <v>8420</v>
      </c>
      <c r="E71" s="383">
        <v>7151</v>
      </c>
      <c r="F71" s="384">
        <f t="shared" si="15"/>
        <v>-9286.6299999999992</v>
      </c>
      <c r="G71" s="159">
        <v>-5000</v>
      </c>
      <c r="H71" s="159">
        <v>0</v>
      </c>
      <c r="I71" s="187"/>
      <c r="J71" s="159"/>
      <c r="K71" s="159">
        <v>-10000</v>
      </c>
      <c r="L71" s="133">
        <v>-9286.6299999999992</v>
      </c>
      <c r="M71" s="133"/>
      <c r="N71" s="133"/>
      <c r="O71" s="136"/>
      <c r="P71" s="133"/>
      <c r="Q71" s="133"/>
      <c r="R71" s="133"/>
      <c r="S71" s="187"/>
      <c r="T71" s="187"/>
      <c r="U71" s="187"/>
      <c r="V71" s="187"/>
      <c r="W71" s="187"/>
      <c r="X71" s="187"/>
      <c r="Y71" s="187"/>
      <c r="Z71" s="159"/>
      <c r="AA71" s="159"/>
      <c r="AB71" s="159"/>
      <c r="AC71" s="159"/>
      <c r="AD71" s="159"/>
      <c r="AE71" s="159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</row>
    <row r="72" spans="1:60" s="61" customFormat="1" ht="12.75" customHeight="1" x14ac:dyDescent="0.2">
      <c r="A72" s="403" t="s">
        <v>223</v>
      </c>
      <c r="B72" s="135" t="s">
        <v>221</v>
      </c>
      <c r="C72" s="407">
        <v>8128</v>
      </c>
      <c r="D72" s="407">
        <v>8410</v>
      </c>
      <c r="E72" s="407">
        <v>7150</v>
      </c>
      <c r="F72" s="384">
        <f t="shared" si="15"/>
        <v>-115549.26000000001</v>
      </c>
      <c r="G72" s="403"/>
      <c r="H72" s="402"/>
      <c r="I72" s="403"/>
      <c r="J72" s="402"/>
      <c r="K72" s="402">
        <v>-50000</v>
      </c>
      <c r="L72" s="133">
        <v>-55549.26</v>
      </c>
      <c r="M72" s="133">
        <v>-60000</v>
      </c>
      <c r="N72" s="133">
        <v>0</v>
      </c>
      <c r="O72" s="136"/>
      <c r="P72" s="133"/>
      <c r="Q72" s="132"/>
      <c r="R72" s="132"/>
      <c r="S72" s="403"/>
      <c r="T72" s="403"/>
      <c r="U72" s="403"/>
      <c r="V72" s="403"/>
      <c r="W72" s="403"/>
      <c r="X72" s="403"/>
      <c r="Y72" s="403"/>
      <c r="Z72" s="402"/>
      <c r="AA72" s="402"/>
      <c r="AB72" s="402"/>
      <c r="AC72" s="402"/>
      <c r="AD72" s="402"/>
      <c r="AE72" s="402"/>
      <c r="AF72" s="82"/>
      <c r="AG72" s="82"/>
      <c r="AH72" s="82"/>
      <c r="AI72" s="82"/>
      <c r="AJ72" s="82"/>
      <c r="AK72" s="82"/>
      <c r="AL72" s="8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  <c r="BH72" s="82"/>
    </row>
    <row r="73" spans="1:60" ht="12.75" hidden="1" customHeight="1" x14ac:dyDescent="0.2">
      <c r="A73" s="187" t="s">
        <v>100</v>
      </c>
      <c r="B73" s="135" t="s">
        <v>221</v>
      </c>
      <c r="C73" s="383">
        <v>8114</v>
      </c>
      <c r="D73" s="383">
        <v>8420</v>
      </c>
      <c r="E73" s="383">
        <v>7145</v>
      </c>
      <c r="F73" s="384">
        <f t="shared" si="15"/>
        <v>-5447</v>
      </c>
      <c r="G73" s="159">
        <v>-10000</v>
      </c>
      <c r="H73" s="159">
        <v>-5447</v>
      </c>
      <c r="I73" s="187"/>
      <c r="J73" s="159"/>
      <c r="K73" s="159"/>
      <c r="L73" s="133"/>
      <c r="M73" s="133"/>
      <c r="N73" s="133"/>
      <c r="O73" s="136"/>
      <c r="P73" s="133"/>
      <c r="Q73" s="133"/>
      <c r="R73" s="133"/>
      <c r="S73" s="187"/>
      <c r="T73" s="187"/>
      <c r="U73" s="187"/>
      <c r="V73" s="187"/>
      <c r="W73" s="187"/>
      <c r="X73" s="187"/>
      <c r="Y73" s="187"/>
      <c r="Z73" s="159"/>
      <c r="AA73" s="159"/>
      <c r="AB73" s="159"/>
      <c r="AC73" s="159"/>
      <c r="AD73" s="159"/>
      <c r="AE73" s="159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</row>
    <row r="74" spans="1:60" ht="12.75" hidden="1" customHeight="1" x14ac:dyDescent="0.2">
      <c r="A74" s="135" t="s">
        <v>225</v>
      </c>
      <c r="B74" s="135" t="s">
        <v>221</v>
      </c>
      <c r="C74" s="383">
        <v>8160</v>
      </c>
      <c r="D74" s="383">
        <v>8410</v>
      </c>
      <c r="E74" s="383">
        <v>7153</v>
      </c>
      <c r="F74" s="384">
        <f t="shared" si="15"/>
        <v>-11807</v>
      </c>
      <c r="G74" s="159">
        <v>-25000</v>
      </c>
      <c r="H74" s="159">
        <v>-11807</v>
      </c>
      <c r="I74" s="159"/>
      <c r="J74" s="159"/>
      <c r="K74" s="159"/>
      <c r="L74" s="133"/>
      <c r="M74" s="133"/>
      <c r="N74" s="133"/>
      <c r="O74" s="136"/>
      <c r="P74" s="133"/>
      <c r="Q74" s="133"/>
      <c r="R74" s="133"/>
      <c r="S74" s="159"/>
      <c r="T74" s="159"/>
      <c r="U74" s="159"/>
      <c r="V74" s="159"/>
      <c r="W74" s="159"/>
      <c r="X74" s="159"/>
      <c r="Y74" s="159"/>
      <c r="Z74" s="159"/>
      <c r="AA74" s="159"/>
      <c r="AB74" s="159"/>
      <c r="AC74" s="159"/>
      <c r="AD74" s="159"/>
      <c r="AE74" s="159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</row>
    <row r="75" spans="1:60" ht="12.75" customHeight="1" x14ac:dyDescent="0.2">
      <c r="A75" s="135" t="s">
        <v>226</v>
      </c>
      <c r="B75" s="135" t="s">
        <v>221</v>
      </c>
      <c r="C75" s="383">
        <v>8161</v>
      </c>
      <c r="D75" s="383">
        <v>8420</v>
      </c>
      <c r="E75" s="383">
        <v>7170</v>
      </c>
      <c r="F75" s="384">
        <f t="shared" si="15"/>
        <v>-40000</v>
      </c>
      <c r="G75" s="159"/>
      <c r="H75" s="159"/>
      <c r="I75" s="159"/>
      <c r="J75" s="159"/>
      <c r="K75" s="159"/>
      <c r="L75" s="133"/>
      <c r="M75" s="133">
        <v>-40000</v>
      </c>
      <c r="N75" s="133">
        <v>0</v>
      </c>
      <c r="O75" s="136"/>
      <c r="P75" s="133"/>
      <c r="Q75" s="133"/>
      <c r="R75" s="133"/>
      <c r="S75" s="159"/>
      <c r="T75" s="159"/>
      <c r="U75" s="159"/>
      <c r="V75" s="159"/>
      <c r="W75" s="159"/>
      <c r="X75" s="159"/>
      <c r="Y75" s="159"/>
      <c r="Z75" s="159"/>
      <c r="AA75" s="159"/>
      <c r="AB75" s="159"/>
      <c r="AC75" s="159"/>
      <c r="AD75" s="159"/>
      <c r="AE75" s="159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</row>
    <row r="76" spans="1:60" ht="12.75" customHeight="1" x14ac:dyDescent="0.2">
      <c r="A76" s="135" t="s">
        <v>227</v>
      </c>
      <c r="B76" s="135" t="s">
        <v>221</v>
      </c>
      <c r="C76" s="383">
        <v>8162</v>
      </c>
      <c r="D76" s="383">
        <v>8410</v>
      </c>
      <c r="E76" s="383">
        <v>7130</v>
      </c>
      <c r="F76" s="384">
        <f t="shared" si="15"/>
        <v>-10000</v>
      </c>
      <c r="G76" s="159"/>
      <c r="H76" s="159"/>
      <c r="I76" s="159"/>
      <c r="J76" s="159"/>
      <c r="K76" s="159"/>
      <c r="L76" s="133"/>
      <c r="M76" s="133">
        <v>-10000</v>
      </c>
      <c r="N76" s="133">
        <v>0</v>
      </c>
      <c r="O76" s="136"/>
      <c r="P76" s="133"/>
      <c r="Q76" s="133"/>
      <c r="R76" s="133"/>
      <c r="S76" s="159"/>
      <c r="T76" s="159"/>
      <c r="U76" s="159"/>
      <c r="V76" s="159"/>
      <c r="W76" s="159"/>
      <c r="X76" s="159"/>
      <c r="Y76" s="159"/>
      <c r="Z76" s="159"/>
      <c r="AA76" s="159"/>
      <c r="AB76" s="159"/>
      <c r="AC76" s="159"/>
      <c r="AD76" s="159"/>
      <c r="AE76" s="159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  <c r="BH76" s="58"/>
    </row>
    <row r="77" spans="1:60" ht="12.75" hidden="1" customHeight="1" x14ac:dyDescent="0.2">
      <c r="A77" s="135" t="s">
        <v>116</v>
      </c>
      <c r="B77" s="135" t="s">
        <v>221</v>
      </c>
      <c r="C77" s="383">
        <v>8163</v>
      </c>
      <c r="D77" s="383">
        <v>8430</v>
      </c>
      <c r="E77" s="383">
        <v>7153</v>
      </c>
      <c r="F77" s="384">
        <f t="shared" si="15"/>
        <v>-3546</v>
      </c>
      <c r="G77" s="159">
        <v>-10000</v>
      </c>
      <c r="H77" s="159">
        <v>-3546</v>
      </c>
      <c r="I77" s="159"/>
      <c r="J77" s="159"/>
      <c r="K77" s="159"/>
      <c r="L77" s="133"/>
      <c r="M77" s="133"/>
      <c r="N77" s="133"/>
      <c r="O77" s="136"/>
      <c r="P77" s="133"/>
      <c r="Q77" s="133"/>
      <c r="R77" s="133"/>
      <c r="S77" s="159"/>
      <c r="T77" s="159"/>
      <c r="U77" s="159"/>
      <c r="V77" s="159"/>
      <c r="W77" s="159"/>
      <c r="X77" s="159"/>
      <c r="Y77" s="159"/>
      <c r="Z77" s="159"/>
      <c r="AA77" s="159"/>
      <c r="AB77" s="159"/>
      <c r="AC77" s="159"/>
      <c r="AD77" s="159"/>
      <c r="AE77" s="159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</row>
    <row r="78" spans="1:60" ht="12.75" hidden="1" customHeight="1" x14ac:dyDescent="0.2">
      <c r="A78" s="135" t="s">
        <v>228</v>
      </c>
      <c r="B78" s="135"/>
      <c r="C78" s="383"/>
      <c r="D78" s="383"/>
      <c r="E78" s="383"/>
      <c r="F78" s="384">
        <f t="shared" si="15"/>
        <v>0</v>
      </c>
      <c r="G78" s="159">
        <v>-10000</v>
      </c>
      <c r="H78" s="159">
        <v>0</v>
      </c>
      <c r="I78" s="159"/>
      <c r="J78" s="159"/>
      <c r="K78" s="159"/>
      <c r="L78" s="133"/>
      <c r="M78" s="133"/>
      <c r="N78" s="133"/>
      <c r="O78" s="136"/>
      <c r="P78" s="133"/>
      <c r="Q78" s="133"/>
      <c r="R78" s="133"/>
      <c r="S78" s="159"/>
      <c r="T78" s="159"/>
      <c r="U78" s="159"/>
      <c r="V78" s="159"/>
      <c r="W78" s="159"/>
      <c r="X78" s="159"/>
      <c r="Y78" s="159"/>
      <c r="Z78" s="159"/>
      <c r="AA78" s="159"/>
      <c r="AB78" s="159"/>
      <c r="AC78" s="159"/>
      <c r="AD78" s="159"/>
      <c r="AE78" s="159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</row>
    <row r="79" spans="1:60" s="57" customFormat="1" ht="12.75" customHeight="1" x14ac:dyDescent="0.2">
      <c r="A79" s="263" t="s">
        <v>229</v>
      </c>
      <c r="B79" s="263"/>
      <c r="C79" s="342"/>
      <c r="D79" s="342"/>
      <c r="E79" s="342"/>
      <c r="F79" s="389">
        <f>SUM(F66:F78)</f>
        <v>-279720.86</v>
      </c>
      <c r="G79" s="390">
        <f>SUM(G66:G78)</f>
        <v>-127000</v>
      </c>
      <c r="H79" s="390">
        <f t="shared" ref="H79:AE79" si="16">SUM(H66:H78)</f>
        <v>-59177</v>
      </c>
      <c r="I79" s="390">
        <f t="shared" si="16"/>
        <v>-20000</v>
      </c>
      <c r="J79" s="390">
        <f t="shared" si="16"/>
        <v>-17902</v>
      </c>
      <c r="K79" s="390">
        <f t="shared" si="16"/>
        <v>-75000</v>
      </c>
      <c r="L79" s="271">
        <f>SUM(L66:L78)</f>
        <v>-92641.86</v>
      </c>
      <c r="M79" s="271">
        <f t="shared" si="16"/>
        <v>-110000</v>
      </c>
      <c r="N79" s="271">
        <f>SUM(N66:N78)</f>
        <v>0</v>
      </c>
      <c r="O79" s="264"/>
      <c r="P79" s="271"/>
      <c r="Q79" s="271">
        <f t="shared" si="16"/>
        <v>0</v>
      </c>
      <c r="R79" s="271">
        <f t="shared" si="16"/>
        <v>0</v>
      </c>
      <c r="S79" s="271">
        <f t="shared" si="16"/>
        <v>0</v>
      </c>
      <c r="T79" s="271">
        <f t="shared" si="16"/>
        <v>0</v>
      </c>
      <c r="U79" s="271">
        <f t="shared" si="16"/>
        <v>0</v>
      </c>
      <c r="V79" s="271">
        <f t="shared" si="16"/>
        <v>0</v>
      </c>
      <c r="W79" s="271">
        <f t="shared" si="16"/>
        <v>0</v>
      </c>
      <c r="X79" s="271">
        <f t="shared" si="16"/>
        <v>0</v>
      </c>
      <c r="Y79" s="271">
        <f t="shared" si="16"/>
        <v>0</v>
      </c>
      <c r="Z79" s="271">
        <f t="shared" si="16"/>
        <v>0</v>
      </c>
      <c r="AA79" s="271">
        <f t="shared" si="16"/>
        <v>0</v>
      </c>
      <c r="AB79" s="271">
        <f t="shared" si="16"/>
        <v>0</v>
      </c>
      <c r="AC79" s="271">
        <f t="shared" si="16"/>
        <v>0</v>
      </c>
      <c r="AD79" s="271">
        <f t="shared" si="16"/>
        <v>0</v>
      </c>
      <c r="AE79" s="271">
        <f t="shared" si="16"/>
        <v>0</v>
      </c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</row>
    <row r="80" spans="1:60" s="7" customFormat="1" ht="12.75" customHeight="1" x14ac:dyDescent="0.2">
      <c r="A80" s="149"/>
      <c r="B80" s="149"/>
      <c r="C80" s="148"/>
      <c r="D80" s="148"/>
      <c r="E80" s="148"/>
      <c r="F80" s="397"/>
      <c r="G80" s="146"/>
      <c r="H80" s="146"/>
      <c r="I80" s="146"/>
      <c r="J80" s="146"/>
      <c r="K80" s="146"/>
      <c r="L80" s="146"/>
      <c r="M80" s="146"/>
      <c r="N80" s="146"/>
      <c r="O80" s="148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</row>
    <row r="81" spans="1:60" s="7" customFormat="1" ht="27.75" customHeight="1" x14ac:dyDescent="0.2">
      <c r="A81" s="244"/>
      <c r="B81" s="244" t="s">
        <v>2</v>
      </c>
      <c r="C81" s="372" t="s">
        <v>258</v>
      </c>
      <c r="D81" s="249" t="s">
        <v>137</v>
      </c>
      <c r="E81" s="249" t="s">
        <v>138</v>
      </c>
      <c r="F81" s="373" t="s">
        <v>3</v>
      </c>
      <c r="G81" s="249" t="s">
        <v>140</v>
      </c>
      <c r="H81" s="249" t="s">
        <v>141</v>
      </c>
      <c r="I81" s="249" t="s">
        <v>142</v>
      </c>
      <c r="J81" s="249" t="s">
        <v>143</v>
      </c>
      <c r="K81" s="249" t="s">
        <v>144</v>
      </c>
      <c r="L81" s="371" t="s">
        <v>145</v>
      </c>
      <c r="M81" s="371" t="s">
        <v>146</v>
      </c>
      <c r="N81" s="371" t="s">
        <v>259</v>
      </c>
      <c r="O81" s="371"/>
      <c r="P81" s="371"/>
      <c r="Q81" s="371" t="str">
        <f t="shared" ref="Q81:R81" si="17">Q64</f>
        <v>TS 2023</v>
      </c>
      <c r="R81" s="371" t="str">
        <f t="shared" si="17"/>
        <v>TS 2024</v>
      </c>
      <c r="S81" s="249">
        <v>2025</v>
      </c>
      <c r="T81" s="249">
        <v>2026</v>
      </c>
      <c r="U81" s="249">
        <v>2027</v>
      </c>
      <c r="V81" s="249">
        <v>2028</v>
      </c>
      <c r="W81" s="249">
        <v>2029</v>
      </c>
      <c r="X81" s="249">
        <v>2030</v>
      </c>
      <c r="Y81" s="249">
        <v>2031</v>
      </c>
      <c r="Z81" s="342">
        <v>2026</v>
      </c>
      <c r="AA81" s="342">
        <v>2027</v>
      </c>
      <c r="AB81" s="342">
        <v>2028</v>
      </c>
      <c r="AC81" s="342">
        <v>2029</v>
      </c>
      <c r="AD81" s="342">
        <v>2029</v>
      </c>
      <c r="AE81" s="342">
        <v>2030</v>
      </c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</row>
    <row r="82" spans="1:60" s="57" customFormat="1" ht="12.75" customHeight="1" x14ac:dyDescent="0.2">
      <c r="A82" s="263" t="s">
        <v>265</v>
      </c>
      <c r="B82" s="263"/>
      <c r="C82" s="342"/>
      <c r="D82" s="342"/>
      <c r="E82" s="342"/>
      <c r="F82" s="395"/>
      <c r="G82" s="342"/>
      <c r="H82" s="342"/>
      <c r="I82" s="342"/>
      <c r="J82" s="342"/>
      <c r="K82" s="342"/>
      <c r="L82" s="264"/>
      <c r="M82" s="264"/>
      <c r="N82" s="264"/>
      <c r="O82" s="264"/>
      <c r="P82" s="264"/>
      <c r="Q82" s="264"/>
      <c r="R82" s="264"/>
      <c r="S82" s="342"/>
      <c r="T82" s="342"/>
      <c r="U82" s="342"/>
      <c r="V82" s="342"/>
      <c r="W82" s="342"/>
      <c r="X82" s="342"/>
      <c r="Y82" s="342"/>
      <c r="Z82" s="342"/>
      <c r="AA82" s="342"/>
      <c r="AB82" s="342"/>
      <c r="AC82" s="342"/>
      <c r="AD82" s="342"/>
      <c r="AE82" s="342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</row>
    <row r="83" spans="1:60" ht="12.75" customHeight="1" x14ac:dyDescent="0.2">
      <c r="A83" s="135" t="s">
        <v>230</v>
      </c>
      <c r="B83" s="135"/>
      <c r="C83" s="383">
        <v>8164</v>
      </c>
      <c r="D83" s="383">
        <v>8450</v>
      </c>
      <c r="E83" s="383">
        <v>7520</v>
      </c>
      <c r="F83" s="384">
        <f t="shared" ref="F83:F105" si="18">SUM(H83,J83,L83:S83)</f>
        <v>-110000</v>
      </c>
      <c r="G83" s="402"/>
      <c r="H83" s="402"/>
      <c r="I83" s="402"/>
      <c r="J83" s="402"/>
      <c r="K83" s="402"/>
      <c r="L83" s="133"/>
      <c r="M83" s="133">
        <v>-10000</v>
      </c>
      <c r="N83" s="133">
        <v>0</v>
      </c>
      <c r="O83" s="136"/>
      <c r="P83" s="133"/>
      <c r="Q83" s="132">
        <v>-100000</v>
      </c>
      <c r="R83" s="132"/>
      <c r="S83" s="402"/>
      <c r="T83" s="402"/>
      <c r="U83" s="402"/>
      <c r="V83" s="402"/>
      <c r="W83" s="402"/>
      <c r="X83" s="402"/>
      <c r="Y83" s="402"/>
      <c r="Z83" s="402"/>
      <c r="AA83" s="159"/>
      <c r="AB83" s="159"/>
      <c r="AC83" s="159"/>
      <c r="AD83" s="159"/>
      <c r="AE83" s="159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58"/>
    </row>
    <row r="84" spans="1:60" ht="12.75" customHeight="1" x14ac:dyDescent="0.2">
      <c r="A84" s="135" t="s">
        <v>92</v>
      </c>
      <c r="B84" s="385"/>
      <c r="C84" s="386">
        <v>8111</v>
      </c>
      <c r="D84" s="386">
        <v>8440</v>
      </c>
      <c r="E84" s="386">
        <v>7520</v>
      </c>
      <c r="F84" s="384">
        <f t="shared" si="18"/>
        <v>-101589.52</v>
      </c>
      <c r="G84" s="402">
        <v>-20000</v>
      </c>
      <c r="H84" s="402">
        <v>-22466</v>
      </c>
      <c r="I84" s="402">
        <v>-20000</v>
      </c>
      <c r="J84" s="402">
        <v>-20311</v>
      </c>
      <c r="K84" s="402">
        <v>-20000</v>
      </c>
      <c r="L84" s="133">
        <v>-18812.52</v>
      </c>
      <c r="M84" s="133">
        <v>-20000</v>
      </c>
      <c r="N84" s="133">
        <v>0</v>
      </c>
      <c r="O84" s="136"/>
      <c r="P84" s="133"/>
      <c r="Q84" s="132">
        <v>-20000</v>
      </c>
      <c r="R84" s="132"/>
      <c r="S84" s="402"/>
      <c r="T84" s="402"/>
      <c r="U84" s="402"/>
      <c r="V84" s="402"/>
      <c r="W84" s="402"/>
      <c r="X84" s="402"/>
      <c r="Y84" s="402"/>
      <c r="Z84" s="402"/>
      <c r="AA84" s="159"/>
      <c r="AB84" s="159"/>
      <c r="AC84" s="159"/>
      <c r="AD84" s="159"/>
      <c r="AE84" s="159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  <c r="BH84" s="58"/>
    </row>
    <row r="85" spans="1:60" ht="12.75" customHeight="1" x14ac:dyDescent="0.2">
      <c r="A85" s="135" t="s">
        <v>205</v>
      </c>
      <c r="B85" s="385"/>
      <c r="C85" s="386">
        <v>8129</v>
      </c>
      <c r="D85" s="386">
        <v>8440</v>
      </c>
      <c r="E85" s="386" t="s">
        <v>232</v>
      </c>
      <c r="F85" s="384">
        <f t="shared" si="18"/>
        <v>-30000</v>
      </c>
      <c r="G85" s="402"/>
      <c r="H85" s="402"/>
      <c r="I85" s="402"/>
      <c r="J85" s="402"/>
      <c r="K85" s="159">
        <v>0</v>
      </c>
      <c r="L85" s="133">
        <v>0</v>
      </c>
      <c r="M85" s="133">
        <v>-30000</v>
      </c>
      <c r="N85" s="133">
        <v>0</v>
      </c>
      <c r="O85" s="136"/>
      <c r="P85" s="133"/>
      <c r="Q85" s="132"/>
      <c r="R85" s="132"/>
      <c r="S85" s="402"/>
      <c r="T85" s="402"/>
      <c r="U85" s="402"/>
      <c r="V85" s="402"/>
      <c r="W85" s="402"/>
      <c r="X85" s="402"/>
      <c r="Y85" s="402"/>
      <c r="Z85" s="402"/>
      <c r="AA85" s="159"/>
      <c r="AB85" s="159"/>
      <c r="AC85" s="159"/>
      <c r="AD85" s="159"/>
      <c r="AE85" s="159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  <c r="BH85" s="58"/>
    </row>
    <row r="86" spans="1:60" ht="12.75" hidden="1" customHeight="1" x14ac:dyDescent="0.2">
      <c r="A86" s="135" t="s">
        <v>70</v>
      </c>
      <c r="B86" s="135"/>
      <c r="C86" s="383">
        <v>8165</v>
      </c>
      <c r="D86" s="383">
        <v>8440</v>
      </c>
      <c r="E86" s="386" t="s">
        <v>232</v>
      </c>
      <c r="F86" s="384">
        <f t="shared" si="18"/>
        <v>-110000</v>
      </c>
      <c r="G86" s="402"/>
      <c r="H86" s="402"/>
      <c r="I86" s="402">
        <v>0</v>
      </c>
      <c r="J86" s="402">
        <v>0</v>
      </c>
      <c r="K86" s="402"/>
      <c r="L86" s="133"/>
      <c r="M86" s="133"/>
      <c r="N86" s="133"/>
      <c r="O86" s="136"/>
      <c r="P86" s="133"/>
      <c r="Q86" s="132"/>
      <c r="R86" s="132">
        <v>-10000</v>
      </c>
      <c r="S86" s="402">
        <v>-100000</v>
      </c>
      <c r="T86" s="402"/>
      <c r="U86" s="402"/>
      <c r="V86" s="402"/>
      <c r="W86" s="402"/>
      <c r="X86" s="402"/>
      <c r="Y86" s="402"/>
      <c r="Z86" s="402"/>
      <c r="AA86" s="159"/>
      <c r="AB86" s="159"/>
      <c r="AC86" s="159"/>
      <c r="AD86" s="159"/>
      <c r="AE86" s="159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</row>
    <row r="87" spans="1:60" ht="12.75" customHeight="1" x14ac:dyDescent="0.2">
      <c r="A87" s="135" t="s">
        <v>233</v>
      </c>
      <c r="B87" s="135"/>
      <c r="C87" s="383">
        <v>8166</v>
      </c>
      <c r="D87" s="383">
        <v>8440</v>
      </c>
      <c r="E87" s="386" t="s">
        <v>232</v>
      </c>
      <c r="F87" s="384">
        <f t="shared" si="18"/>
        <v>-200000</v>
      </c>
      <c r="G87" s="402">
        <v>-100000</v>
      </c>
      <c r="H87" s="402">
        <v>0</v>
      </c>
      <c r="I87" s="402">
        <v>-20000</v>
      </c>
      <c r="J87" s="402">
        <v>0</v>
      </c>
      <c r="K87" s="159"/>
      <c r="L87" s="133"/>
      <c r="M87" s="133">
        <v>-200000</v>
      </c>
      <c r="N87" s="133">
        <v>0</v>
      </c>
      <c r="O87" s="136"/>
      <c r="P87" s="133"/>
      <c r="Q87" s="132"/>
      <c r="R87" s="132"/>
      <c r="S87" s="402"/>
      <c r="T87" s="402"/>
      <c r="U87" s="402"/>
      <c r="V87" s="402"/>
      <c r="W87" s="402"/>
      <c r="X87" s="402"/>
      <c r="Y87" s="402"/>
      <c r="Z87" s="402"/>
      <c r="AA87" s="159"/>
      <c r="AB87" s="159"/>
      <c r="AC87" s="159"/>
      <c r="AD87" s="159"/>
      <c r="AE87" s="159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</row>
    <row r="88" spans="1:60" ht="12.75" hidden="1" customHeight="1" x14ac:dyDescent="0.2">
      <c r="A88" s="135" t="s">
        <v>234</v>
      </c>
      <c r="B88" s="409"/>
      <c r="C88" s="78">
        <v>8144</v>
      </c>
      <c r="D88" s="78">
        <v>8440</v>
      </c>
      <c r="E88" s="386" t="s">
        <v>232</v>
      </c>
      <c r="F88" s="384">
        <f t="shared" si="18"/>
        <v>-18920</v>
      </c>
      <c r="G88" s="410"/>
      <c r="H88" s="402"/>
      <c r="I88" s="410"/>
      <c r="J88" s="402"/>
      <c r="K88" s="159">
        <v>-18920</v>
      </c>
      <c r="L88" s="269">
        <v>-18920</v>
      </c>
      <c r="M88" s="269"/>
      <c r="N88" s="269"/>
      <c r="O88" s="290"/>
      <c r="P88" s="269"/>
      <c r="Q88" s="349"/>
      <c r="R88" s="349"/>
      <c r="S88" s="410"/>
      <c r="T88" s="410"/>
      <c r="U88" s="410"/>
      <c r="V88" s="410"/>
      <c r="W88" s="410"/>
      <c r="X88" s="410"/>
      <c r="Y88" s="410"/>
      <c r="Z88" s="410"/>
      <c r="AA88" s="411"/>
      <c r="AB88" s="411"/>
      <c r="AC88" s="411"/>
      <c r="AD88" s="411"/>
      <c r="AE88" s="411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  <c r="BF88" s="58"/>
      <c r="BG88" s="58"/>
      <c r="BH88" s="58"/>
    </row>
    <row r="89" spans="1:60" ht="12.75" hidden="1" customHeight="1" x14ac:dyDescent="0.2">
      <c r="A89" s="135" t="s">
        <v>235</v>
      </c>
      <c r="B89" s="409"/>
      <c r="C89" s="78">
        <v>8130</v>
      </c>
      <c r="D89" s="78">
        <v>8440</v>
      </c>
      <c r="E89" s="386" t="s">
        <v>232</v>
      </c>
      <c r="F89" s="384">
        <f t="shared" si="18"/>
        <v>-43936.5</v>
      </c>
      <c r="G89" s="410">
        <v>-60000</v>
      </c>
      <c r="H89" s="402">
        <v>0</v>
      </c>
      <c r="I89" s="410"/>
      <c r="J89" s="402"/>
      <c r="K89" s="159">
        <v>-40000</v>
      </c>
      <c r="L89" s="269">
        <v>-43936.5</v>
      </c>
      <c r="M89" s="269"/>
      <c r="N89" s="269"/>
      <c r="O89" s="290"/>
      <c r="P89" s="269"/>
      <c r="Q89" s="349"/>
      <c r="R89" s="349"/>
      <c r="S89" s="410"/>
      <c r="T89" s="410"/>
      <c r="U89" s="410"/>
      <c r="V89" s="410"/>
      <c r="W89" s="410"/>
      <c r="X89" s="410"/>
      <c r="Y89" s="410"/>
      <c r="Z89" s="410"/>
      <c r="AA89" s="411"/>
      <c r="AB89" s="411"/>
      <c r="AC89" s="411"/>
      <c r="AD89" s="411"/>
      <c r="AE89" s="411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58"/>
      <c r="BH89" s="58"/>
    </row>
    <row r="90" spans="1:60" ht="12.75" hidden="1" customHeight="1" x14ac:dyDescent="0.2">
      <c r="A90" s="412" t="s">
        <v>236</v>
      </c>
      <c r="B90" s="135"/>
      <c r="C90" s="383">
        <v>8167</v>
      </c>
      <c r="D90" s="383">
        <v>8440</v>
      </c>
      <c r="E90" s="386" t="s">
        <v>232</v>
      </c>
      <c r="F90" s="384">
        <f t="shared" si="18"/>
        <v>0</v>
      </c>
      <c r="G90" s="402"/>
      <c r="H90" s="402"/>
      <c r="I90" s="402">
        <v>0</v>
      </c>
      <c r="J90" s="402">
        <v>0</v>
      </c>
      <c r="K90" s="159"/>
      <c r="L90" s="133"/>
      <c r="M90" s="133"/>
      <c r="N90" s="133"/>
      <c r="O90" s="136"/>
      <c r="P90" s="133"/>
      <c r="Q90" s="132"/>
      <c r="R90" s="132"/>
      <c r="S90" s="402"/>
      <c r="T90" s="402"/>
      <c r="U90" s="402"/>
      <c r="V90" s="402"/>
      <c r="W90" s="402"/>
      <c r="X90" s="402"/>
      <c r="Y90" s="402"/>
      <c r="Z90" s="402"/>
      <c r="AA90" s="159"/>
      <c r="AB90" s="159"/>
      <c r="AC90" s="159"/>
      <c r="AD90" s="159"/>
      <c r="AE90" s="159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58"/>
      <c r="BG90" s="58"/>
      <c r="BH90" s="58"/>
    </row>
    <row r="91" spans="1:60" ht="12.75" customHeight="1" x14ac:dyDescent="0.2">
      <c r="A91" s="135" t="s">
        <v>237</v>
      </c>
      <c r="B91" s="135"/>
      <c r="C91" s="383">
        <v>8168</v>
      </c>
      <c r="D91" s="383">
        <v>8440</v>
      </c>
      <c r="E91" s="386" t="s">
        <v>232</v>
      </c>
      <c r="F91" s="384">
        <f t="shared" si="18"/>
        <v>-110000</v>
      </c>
      <c r="G91" s="402"/>
      <c r="H91" s="402"/>
      <c r="I91" s="402"/>
      <c r="J91" s="402"/>
      <c r="K91" s="159"/>
      <c r="L91" s="133"/>
      <c r="M91" s="133">
        <v>-10000</v>
      </c>
      <c r="N91" s="133">
        <v>0</v>
      </c>
      <c r="O91" s="136"/>
      <c r="P91" s="133"/>
      <c r="Q91" s="132">
        <v>-100000</v>
      </c>
      <c r="R91" s="132"/>
      <c r="S91" s="402"/>
      <c r="T91" s="402"/>
      <c r="U91" s="402"/>
      <c r="V91" s="402"/>
      <c r="W91" s="402"/>
      <c r="X91" s="402"/>
      <c r="Y91" s="402"/>
      <c r="Z91" s="402"/>
      <c r="AA91" s="159"/>
      <c r="AB91" s="159"/>
      <c r="AC91" s="159"/>
      <c r="AD91" s="159"/>
      <c r="AE91" s="159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</row>
    <row r="92" spans="1:60" ht="12.75" hidden="1" customHeight="1" x14ac:dyDescent="0.2">
      <c r="A92" s="135" t="s">
        <v>238</v>
      </c>
      <c r="B92" s="135"/>
      <c r="C92" s="383">
        <v>8131</v>
      </c>
      <c r="D92" s="383">
        <v>8440</v>
      </c>
      <c r="E92" s="386" t="s">
        <v>232</v>
      </c>
      <c r="F92" s="384">
        <f t="shared" si="18"/>
        <v>-160000</v>
      </c>
      <c r="G92" s="402">
        <v>-5000</v>
      </c>
      <c r="H92" s="402">
        <v>0</v>
      </c>
      <c r="I92" s="402">
        <v>-10000</v>
      </c>
      <c r="J92" s="402">
        <v>0</v>
      </c>
      <c r="K92" s="159">
        <v>0</v>
      </c>
      <c r="L92" s="133">
        <v>0</v>
      </c>
      <c r="M92" s="133"/>
      <c r="N92" s="133"/>
      <c r="O92" s="136"/>
      <c r="P92" s="133"/>
      <c r="Q92" s="132">
        <v>-160000</v>
      </c>
      <c r="R92" s="132"/>
      <c r="S92" s="402"/>
      <c r="T92" s="402"/>
      <c r="U92" s="402"/>
      <c r="V92" s="402"/>
      <c r="W92" s="402"/>
      <c r="X92" s="402"/>
      <c r="Y92" s="402"/>
      <c r="Z92" s="402"/>
      <c r="AA92" s="159"/>
      <c r="AB92" s="159"/>
      <c r="AC92" s="159"/>
      <c r="AD92" s="159"/>
      <c r="AE92" s="159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  <c r="BF92" s="58"/>
      <c r="BG92" s="58"/>
      <c r="BH92" s="58"/>
    </row>
    <row r="93" spans="1:60" ht="12.75" customHeight="1" x14ac:dyDescent="0.2">
      <c r="A93" s="135" t="s">
        <v>210</v>
      </c>
      <c r="B93" s="135"/>
      <c r="C93" s="383">
        <v>8132</v>
      </c>
      <c r="D93" s="383">
        <v>8440</v>
      </c>
      <c r="E93" s="386" t="s">
        <v>232</v>
      </c>
      <c r="F93" s="384">
        <f t="shared" si="18"/>
        <v>-400000</v>
      </c>
      <c r="G93" s="402"/>
      <c r="H93" s="402"/>
      <c r="I93" s="402"/>
      <c r="J93" s="402"/>
      <c r="K93" s="159">
        <v>-5000</v>
      </c>
      <c r="L93" s="133">
        <v>0</v>
      </c>
      <c r="M93" s="133">
        <v>-400000</v>
      </c>
      <c r="N93" s="133">
        <v>0</v>
      </c>
      <c r="O93" s="136"/>
      <c r="P93" s="133"/>
      <c r="Q93" s="132"/>
      <c r="R93" s="132"/>
      <c r="S93" s="402"/>
      <c r="T93" s="402"/>
      <c r="U93" s="402"/>
      <c r="V93" s="402"/>
      <c r="W93" s="402"/>
      <c r="X93" s="402"/>
      <c r="Y93" s="402"/>
      <c r="Z93" s="402"/>
      <c r="AA93" s="159"/>
      <c r="AB93" s="159"/>
      <c r="AC93" s="159"/>
      <c r="AD93" s="159"/>
      <c r="AE93" s="159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58"/>
      <c r="BH93" s="58"/>
    </row>
    <row r="94" spans="1:60" ht="12.75" customHeight="1" x14ac:dyDescent="0.2">
      <c r="A94" s="135" t="s">
        <v>239</v>
      </c>
      <c r="B94" s="135"/>
      <c r="C94" s="383">
        <v>8169</v>
      </c>
      <c r="D94" s="383">
        <v>8440</v>
      </c>
      <c r="E94" s="386">
        <v>7520</v>
      </c>
      <c r="F94" s="384">
        <f t="shared" si="18"/>
        <v>-400000</v>
      </c>
      <c r="G94" s="402"/>
      <c r="H94" s="402"/>
      <c r="I94" s="402"/>
      <c r="J94" s="402"/>
      <c r="K94" s="159"/>
      <c r="L94" s="133"/>
      <c r="M94" s="133">
        <v>-100000</v>
      </c>
      <c r="N94" s="133">
        <v>0</v>
      </c>
      <c r="O94" s="136"/>
      <c r="P94" s="133"/>
      <c r="Q94" s="132">
        <v>-100000</v>
      </c>
      <c r="R94" s="132">
        <v>-100000</v>
      </c>
      <c r="S94" s="402">
        <v>-100000</v>
      </c>
      <c r="T94" s="402"/>
      <c r="U94" s="402"/>
      <c r="V94" s="402"/>
      <c r="W94" s="402"/>
      <c r="X94" s="402"/>
      <c r="Y94" s="402"/>
      <c r="Z94" s="402"/>
      <c r="AA94" s="159"/>
      <c r="AB94" s="159"/>
      <c r="AC94" s="159"/>
      <c r="AD94" s="159"/>
      <c r="AE94" s="159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58"/>
    </row>
    <row r="95" spans="1:60" ht="12.75" customHeight="1" x14ac:dyDescent="0.2">
      <c r="A95" s="135" t="s">
        <v>241</v>
      </c>
      <c r="B95" s="135"/>
      <c r="C95" s="383">
        <v>8170</v>
      </c>
      <c r="D95" s="383">
        <v>8440</v>
      </c>
      <c r="E95" s="386">
        <v>7510</v>
      </c>
      <c r="F95" s="384">
        <f t="shared" si="18"/>
        <v>-20000</v>
      </c>
      <c r="G95" s="402"/>
      <c r="H95" s="402"/>
      <c r="I95" s="402"/>
      <c r="J95" s="402"/>
      <c r="K95" s="159"/>
      <c r="L95" s="133"/>
      <c r="M95" s="133">
        <v>-20000</v>
      </c>
      <c r="N95" s="133">
        <v>0</v>
      </c>
      <c r="O95" s="136"/>
      <c r="P95" s="133"/>
      <c r="Q95" s="132"/>
      <c r="R95" s="132"/>
      <c r="S95" s="402"/>
      <c r="T95" s="402"/>
      <c r="U95" s="402"/>
      <c r="V95" s="402"/>
      <c r="W95" s="402"/>
      <c r="X95" s="402"/>
      <c r="Y95" s="402"/>
      <c r="Z95" s="402"/>
      <c r="AA95" s="159"/>
      <c r="AB95" s="159"/>
      <c r="AC95" s="159"/>
      <c r="AD95" s="159"/>
      <c r="AE95" s="159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58"/>
      <c r="BH95" s="58"/>
    </row>
    <row r="96" spans="1:60" ht="12.75" customHeight="1" x14ac:dyDescent="0.2">
      <c r="A96" s="135" t="s">
        <v>81</v>
      </c>
      <c r="B96" s="135"/>
      <c r="C96" s="383">
        <v>8105</v>
      </c>
      <c r="D96" s="383">
        <v>8440</v>
      </c>
      <c r="E96" s="386" t="s">
        <v>232</v>
      </c>
      <c r="F96" s="384">
        <f t="shared" si="18"/>
        <v>-191685.65</v>
      </c>
      <c r="G96" s="402">
        <v>-30000</v>
      </c>
      <c r="H96" s="402">
        <v>-35075</v>
      </c>
      <c r="I96" s="402">
        <v>-30000</v>
      </c>
      <c r="J96" s="402">
        <v>-30601</v>
      </c>
      <c r="K96" s="159">
        <v>-30000</v>
      </c>
      <c r="L96" s="133">
        <v>-36009.65</v>
      </c>
      <c r="M96" s="133">
        <v>-60000</v>
      </c>
      <c r="N96" s="133">
        <v>0</v>
      </c>
      <c r="O96" s="136"/>
      <c r="P96" s="133"/>
      <c r="Q96" s="132">
        <v>-30000</v>
      </c>
      <c r="R96" s="132"/>
      <c r="S96" s="402"/>
      <c r="T96" s="402"/>
      <c r="U96" s="402"/>
      <c r="V96" s="402"/>
      <c r="W96" s="402"/>
      <c r="X96" s="402"/>
      <c r="Y96" s="402"/>
      <c r="Z96" s="402"/>
      <c r="AA96" s="159"/>
      <c r="AB96" s="159"/>
      <c r="AC96" s="159"/>
      <c r="AD96" s="159"/>
      <c r="AE96" s="159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</row>
    <row r="97" spans="1:60" ht="12.75" customHeight="1" x14ac:dyDescent="0.2">
      <c r="A97" s="135" t="s">
        <v>242</v>
      </c>
      <c r="B97" s="135"/>
      <c r="C97" s="383">
        <v>8171</v>
      </c>
      <c r="D97" s="383">
        <v>8440</v>
      </c>
      <c r="E97" s="386" t="s">
        <v>232</v>
      </c>
      <c r="F97" s="384">
        <f t="shared" si="18"/>
        <v>-139067.45000000001</v>
      </c>
      <c r="G97" s="402"/>
      <c r="H97" s="402"/>
      <c r="I97" s="402">
        <v>-50000</v>
      </c>
      <c r="J97" s="402">
        <v>-66974.759999999995</v>
      </c>
      <c r="K97" s="159">
        <v>-35000</v>
      </c>
      <c r="L97" s="133">
        <v>-42092.69</v>
      </c>
      <c r="M97" s="133">
        <v>-30000</v>
      </c>
      <c r="N97" s="133">
        <v>0</v>
      </c>
      <c r="O97" s="136"/>
      <c r="P97" s="133"/>
      <c r="Q97" s="132"/>
      <c r="R97" s="132"/>
      <c r="S97" s="402"/>
      <c r="T97" s="402"/>
      <c r="U97" s="402"/>
      <c r="V97" s="402"/>
      <c r="W97" s="402"/>
      <c r="X97" s="402"/>
      <c r="Y97" s="402"/>
      <c r="Z97" s="402"/>
      <c r="AA97" s="159"/>
      <c r="AB97" s="159"/>
      <c r="AC97" s="159"/>
      <c r="AD97" s="159"/>
      <c r="AE97" s="159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58"/>
      <c r="BH97" s="58"/>
    </row>
    <row r="98" spans="1:60" ht="12.75" customHeight="1" x14ac:dyDescent="0.2">
      <c r="A98" s="135" t="s">
        <v>243</v>
      </c>
      <c r="B98" s="135"/>
      <c r="C98" s="383">
        <v>8118</v>
      </c>
      <c r="D98" s="383">
        <v>8440</v>
      </c>
      <c r="E98" s="383">
        <v>7520</v>
      </c>
      <c r="F98" s="384">
        <f t="shared" si="18"/>
        <v>-559023.29</v>
      </c>
      <c r="G98" s="410"/>
      <c r="H98" s="402"/>
      <c r="I98" s="410">
        <v>-253455</v>
      </c>
      <c r="J98" s="402">
        <v>-239137</v>
      </c>
      <c r="K98" s="159">
        <v>-73200</v>
      </c>
      <c r="L98" s="269">
        <v>-57586.29</v>
      </c>
      <c r="M98" s="269">
        <v>-73200</v>
      </c>
      <c r="N98" s="269">
        <v>0</v>
      </c>
      <c r="O98" s="290"/>
      <c r="P98" s="269"/>
      <c r="Q98" s="349">
        <v>-61000</v>
      </c>
      <c r="R98" s="349">
        <v>-67100</v>
      </c>
      <c r="S98" s="410">
        <v>-61000</v>
      </c>
      <c r="T98" s="410">
        <v>-45750</v>
      </c>
      <c r="U98" s="411">
        <v>-30500</v>
      </c>
      <c r="V98" s="410"/>
      <c r="W98" s="410"/>
      <c r="X98" s="410"/>
      <c r="Y98" s="410"/>
      <c r="Z98" s="410">
        <v>-45750</v>
      </c>
      <c r="AA98" s="411">
        <v>-30500</v>
      </c>
      <c r="AB98" s="411"/>
      <c r="AC98" s="411"/>
      <c r="AD98" s="411"/>
      <c r="AE98" s="411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  <c r="BF98" s="58"/>
      <c r="BG98" s="58"/>
      <c r="BH98" s="58"/>
    </row>
    <row r="99" spans="1:60" ht="12.75" hidden="1" customHeight="1" x14ac:dyDescent="0.2">
      <c r="A99" s="135" t="s">
        <v>245</v>
      </c>
      <c r="B99" s="135"/>
      <c r="C99" s="383"/>
      <c r="D99" s="383"/>
      <c r="E99" s="383" t="s">
        <v>232</v>
      </c>
      <c r="F99" s="384">
        <f t="shared" si="18"/>
        <v>-4236</v>
      </c>
      <c r="G99" s="402">
        <v>-20000</v>
      </c>
      <c r="H99" s="402">
        <v>-4236</v>
      </c>
      <c r="I99" s="402"/>
      <c r="J99" s="402"/>
      <c r="K99" s="402"/>
      <c r="L99" s="133"/>
      <c r="M99" s="133"/>
      <c r="N99" s="133"/>
      <c r="O99" s="136"/>
      <c r="P99" s="133"/>
      <c r="Q99" s="132"/>
      <c r="R99" s="132"/>
      <c r="S99" s="402"/>
      <c r="T99" s="402"/>
      <c r="U99" s="402"/>
      <c r="V99" s="402"/>
      <c r="W99" s="402"/>
      <c r="X99" s="402"/>
      <c r="Y99" s="402"/>
      <c r="Z99" s="402"/>
      <c r="AA99" s="159"/>
      <c r="AB99" s="159"/>
      <c r="AC99" s="159"/>
      <c r="AD99" s="159"/>
      <c r="AE99" s="159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58"/>
      <c r="BH99" s="58"/>
    </row>
    <row r="100" spans="1:60" ht="12.75" hidden="1" customHeight="1" x14ac:dyDescent="0.2">
      <c r="A100" s="135" t="s">
        <v>246</v>
      </c>
      <c r="B100" s="135"/>
      <c r="C100" s="383">
        <v>8116</v>
      </c>
      <c r="D100" s="383">
        <v>8440</v>
      </c>
      <c r="E100" s="383" t="s">
        <v>232</v>
      </c>
      <c r="F100" s="384">
        <f t="shared" si="18"/>
        <v>-55919</v>
      </c>
      <c r="G100" s="410">
        <v>0</v>
      </c>
      <c r="H100" s="402">
        <v>-1361</v>
      </c>
      <c r="I100" s="410"/>
      <c r="J100" s="402">
        <v>-54558</v>
      </c>
      <c r="K100" s="402"/>
      <c r="L100" s="269"/>
      <c r="M100" s="269"/>
      <c r="N100" s="269"/>
      <c r="O100" s="290"/>
      <c r="P100" s="269"/>
      <c r="Q100" s="349"/>
      <c r="R100" s="349"/>
      <c r="S100" s="410"/>
      <c r="T100" s="410"/>
      <c r="U100" s="410"/>
      <c r="V100" s="410"/>
      <c r="W100" s="410"/>
      <c r="X100" s="410"/>
      <c r="Y100" s="410"/>
      <c r="Z100" s="410"/>
      <c r="AA100" s="411"/>
      <c r="AB100" s="411"/>
      <c r="AC100" s="411"/>
      <c r="AD100" s="411"/>
      <c r="AE100" s="411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  <c r="BD100" s="58"/>
      <c r="BE100" s="58"/>
      <c r="BF100" s="58"/>
      <c r="BG100" s="58"/>
      <c r="BH100" s="58"/>
    </row>
    <row r="101" spans="1:60" ht="12.75" hidden="1" customHeight="1" x14ac:dyDescent="0.2">
      <c r="A101" s="23" t="s">
        <v>94</v>
      </c>
      <c r="B101" s="413"/>
      <c r="C101" s="414">
        <v>8113</v>
      </c>
      <c r="D101" s="414">
        <v>8440</v>
      </c>
      <c r="E101" s="386">
        <v>7510</v>
      </c>
      <c r="F101" s="384">
        <f t="shared" si="18"/>
        <v>-12818</v>
      </c>
      <c r="G101" s="62">
        <v>-30000</v>
      </c>
      <c r="H101" s="128">
        <v>-2369</v>
      </c>
      <c r="I101" s="62">
        <v>-30000</v>
      </c>
      <c r="J101" s="128">
        <v>-10449</v>
      </c>
      <c r="K101" s="128">
        <v>-20000</v>
      </c>
      <c r="L101" s="133">
        <v>0</v>
      </c>
      <c r="M101" s="133"/>
      <c r="N101" s="133"/>
      <c r="O101" s="136"/>
      <c r="P101" s="133"/>
      <c r="Q101" s="132"/>
      <c r="R101" s="132"/>
      <c r="S101" s="62"/>
      <c r="T101" s="62"/>
      <c r="U101" s="62"/>
      <c r="V101" s="62"/>
      <c r="W101" s="62"/>
      <c r="X101" s="62"/>
      <c r="Y101" s="62"/>
      <c r="Z101" s="62"/>
      <c r="AA101" s="159"/>
      <c r="AB101" s="159"/>
      <c r="AC101" s="159"/>
      <c r="AD101" s="159"/>
      <c r="AE101" s="159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58"/>
      <c r="BH101" s="58"/>
    </row>
    <row r="102" spans="1:60" ht="12.75" hidden="1" customHeight="1" x14ac:dyDescent="0.2">
      <c r="A102" s="135" t="s">
        <v>49</v>
      </c>
      <c r="B102" s="385"/>
      <c r="C102" s="386">
        <v>8138</v>
      </c>
      <c r="D102" s="386">
        <v>8440</v>
      </c>
      <c r="E102" s="386">
        <v>7510</v>
      </c>
      <c r="F102" s="384">
        <f t="shared" si="18"/>
        <v>-52498</v>
      </c>
      <c r="G102" s="402">
        <v>-40000</v>
      </c>
      <c r="H102" s="62">
        <v>-35678</v>
      </c>
      <c r="I102" s="402">
        <v>-20000</v>
      </c>
      <c r="J102" s="62">
        <v>-16820</v>
      </c>
      <c r="K102" s="62"/>
      <c r="L102" s="133"/>
      <c r="M102" s="133"/>
      <c r="N102" s="133"/>
      <c r="O102" s="136"/>
      <c r="P102" s="133"/>
      <c r="Q102" s="132"/>
      <c r="R102" s="132"/>
      <c r="S102" s="402"/>
      <c r="T102" s="402"/>
      <c r="U102" s="402"/>
      <c r="V102" s="402"/>
      <c r="W102" s="402"/>
      <c r="X102" s="402"/>
      <c r="Y102" s="402"/>
      <c r="Z102" s="402"/>
      <c r="AA102" s="159"/>
      <c r="AB102" s="159"/>
      <c r="AC102" s="159"/>
      <c r="AD102" s="159"/>
      <c r="AE102" s="159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  <c r="BD102" s="58"/>
      <c r="BE102" s="58"/>
      <c r="BF102" s="58"/>
      <c r="BG102" s="58"/>
      <c r="BH102" s="58"/>
    </row>
    <row r="103" spans="1:60" ht="12.75" hidden="1" customHeight="1" x14ac:dyDescent="0.2">
      <c r="A103" s="135" t="s">
        <v>52</v>
      </c>
      <c r="B103" s="385"/>
      <c r="C103" s="386">
        <v>8140</v>
      </c>
      <c r="D103" s="386">
        <v>8440</v>
      </c>
      <c r="E103" s="386">
        <v>7510</v>
      </c>
      <c r="F103" s="384">
        <f t="shared" si="18"/>
        <v>-65723</v>
      </c>
      <c r="G103" s="402">
        <v>-60000</v>
      </c>
      <c r="H103" s="62">
        <v>-55228</v>
      </c>
      <c r="I103" s="402">
        <v>-30000</v>
      </c>
      <c r="J103" s="62">
        <v>-10495</v>
      </c>
      <c r="K103" s="62"/>
      <c r="L103" s="133"/>
      <c r="M103" s="133"/>
      <c r="N103" s="133"/>
      <c r="O103" s="136"/>
      <c r="P103" s="133"/>
      <c r="Q103" s="132"/>
      <c r="R103" s="132"/>
      <c r="S103" s="402"/>
      <c r="T103" s="402"/>
      <c r="U103" s="402"/>
      <c r="V103" s="402"/>
      <c r="W103" s="402"/>
      <c r="X103" s="402"/>
      <c r="Y103" s="402"/>
      <c r="Z103" s="402"/>
      <c r="AA103" s="159"/>
      <c r="AB103" s="159"/>
      <c r="AC103" s="159"/>
      <c r="AD103" s="159"/>
      <c r="AE103" s="159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58"/>
      <c r="BH103" s="58"/>
    </row>
    <row r="104" spans="1:60" ht="12.75" hidden="1" customHeight="1" x14ac:dyDescent="0.2">
      <c r="A104" s="129" t="s">
        <v>62</v>
      </c>
      <c r="B104" s="113"/>
      <c r="C104" s="415">
        <v>8172</v>
      </c>
      <c r="D104" s="79">
        <v>8440</v>
      </c>
      <c r="E104" s="386" t="s">
        <v>232</v>
      </c>
      <c r="F104" s="384">
        <f t="shared" si="18"/>
        <v>-5000</v>
      </c>
      <c r="G104" s="402">
        <v>-60000</v>
      </c>
      <c r="H104" s="402">
        <v>-5000</v>
      </c>
      <c r="I104" s="402">
        <v>0</v>
      </c>
      <c r="J104" s="402">
        <v>0</v>
      </c>
      <c r="K104" s="402"/>
      <c r="L104" s="80"/>
      <c r="M104" s="80"/>
      <c r="N104" s="80"/>
      <c r="O104" s="100"/>
      <c r="P104" s="97"/>
      <c r="Q104" s="130"/>
      <c r="R104" s="132"/>
      <c r="S104" s="402"/>
      <c r="T104" s="402"/>
      <c r="U104" s="402"/>
      <c r="V104" s="402"/>
      <c r="W104" s="402"/>
      <c r="X104" s="402"/>
      <c r="Y104" s="402"/>
      <c r="Z104" s="402"/>
      <c r="AA104" s="81"/>
      <c r="AB104" s="131"/>
      <c r="AC104" s="159"/>
      <c r="AD104" s="159"/>
      <c r="AE104" s="159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  <c r="BD104" s="58"/>
      <c r="BE104" s="58"/>
      <c r="BF104" s="58"/>
      <c r="BG104" s="58"/>
      <c r="BH104" s="58"/>
    </row>
    <row r="105" spans="1:60" ht="12.75" customHeight="1" x14ac:dyDescent="0.2">
      <c r="A105" s="135" t="s">
        <v>247</v>
      </c>
      <c r="B105" s="135" t="s">
        <v>55</v>
      </c>
      <c r="C105" s="383">
        <v>8107</v>
      </c>
      <c r="D105" s="383">
        <v>8440</v>
      </c>
      <c r="E105" s="386" t="s">
        <v>232</v>
      </c>
      <c r="F105" s="384">
        <f t="shared" si="18"/>
        <v>-376058</v>
      </c>
      <c r="G105" s="159">
        <v>-100000</v>
      </c>
      <c r="H105" s="159">
        <v>-106050</v>
      </c>
      <c r="I105" s="159">
        <v>-200000</v>
      </c>
      <c r="J105" s="159">
        <v>-47614</v>
      </c>
      <c r="K105" s="159">
        <v>-200000</v>
      </c>
      <c r="L105" s="297">
        <v>-151394</v>
      </c>
      <c r="M105" s="297">
        <v>-60000</v>
      </c>
      <c r="N105" s="297">
        <v>-11000</v>
      </c>
      <c r="O105" s="268"/>
      <c r="P105" s="297"/>
      <c r="Q105" s="297"/>
      <c r="R105" s="297"/>
      <c r="S105" s="159"/>
      <c r="T105" s="159"/>
      <c r="U105" s="159"/>
      <c r="V105" s="159"/>
      <c r="W105" s="159"/>
      <c r="X105" s="159"/>
      <c r="Y105" s="159"/>
      <c r="Z105" s="159"/>
      <c r="AA105" s="183"/>
      <c r="AB105" s="183"/>
      <c r="AC105" s="183"/>
      <c r="AD105" s="183"/>
      <c r="AE105" s="183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58"/>
      <c r="BH105" s="58"/>
    </row>
    <row r="106" spans="1:60" s="57" customFormat="1" ht="12.75" customHeight="1" x14ac:dyDescent="0.2">
      <c r="A106" s="378" t="s">
        <v>266</v>
      </c>
      <c r="B106" s="85"/>
      <c r="C106" s="64"/>
      <c r="D106" s="64"/>
      <c r="E106" s="64"/>
      <c r="F106" s="389">
        <f>SUM(F83:F105)</f>
        <v>-3166474.41</v>
      </c>
      <c r="G106" s="390">
        <f>SUM(G83:G105)</f>
        <v>-525000</v>
      </c>
      <c r="H106" s="390">
        <f t="shared" ref="H106" si="19">SUM(H83:H105)</f>
        <v>-267463</v>
      </c>
      <c r="I106" s="390">
        <f>SUM(I83:I105)</f>
        <v>-663455</v>
      </c>
      <c r="J106" s="390">
        <f t="shared" ref="J106" si="20">SUM(J83:J105)</f>
        <v>-496959.76</v>
      </c>
      <c r="K106" s="390">
        <f>SUM(K83:K105)</f>
        <v>-442120</v>
      </c>
      <c r="L106" s="271">
        <f>SUM(L83:L105)</f>
        <v>-368751.65</v>
      </c>
      <c r="M106" s="271">
        <f t="shared" ref="M106:AE106" si="21">SUM(M83:M105)</f>
        <v>-1013200</v>
      </c>
      <c r="N106" s="271">
        <f>SUM(N83:N105)</f>
        <v>-11000</v>
      </c>
      <c r="O106" s="264"/>
      <c r="P106" s="271"/>
      <c r="Q106" s="271">
        <f t="shared" si="21"/>
        <v>-571000</v>
      </c>
      <c r="R106" s="271">
        <f t="shared" si="21"/>
        <v>-177100</v>
      </c>
      <c r="S106" s="271">
        <f t="shared" si="21"/>
        <v>-261000</v>
      </c>
      <c r="T106" s="271">
        <f t="shared" si="21"/>
        <v>-45750</v>
      </c>
      <c r="U106" s="271">
        <f t="shared" si="21"/>
        <v>-30500</v>
      </c>
      <c r="V106" s="271">
        <f t="shared" si="21"/>
        <v>0</v>
      </c>
      <c r="W106" s="271">
        <f t="shared" si="21"/>
        <v>0</v>
      </c>
      <c r="X106" s="271">
        <f t="shared" si="21"/>
        <v>0</v>
      </c>
      <c r="Y106" s="271">
        <f t="shared" si="21"/>
        <v>0</v>
      </c>
      <c r="Z106" s="271">
        <f t="shared" si="21"/>
        <v>-45750</v>
      </c>
      <c r="AA106" s="271">
        <f t="shared" si="21"/>
        <v>-30500</v>
      </c>
      <c r="AB106" s="271">
        <f t="shared" si="21"/>
        <v>0</v>
      </c>
      <c r="AC106" s="271">
        <f t="shared" si="21"/>
        <v>0</v>
      </c>
      <c r="AD106" s="271">
        <f t="shared" si="21"/>
        <v>0</v>
      </c>
      <c r="AE106" s="271">
        <f t="shared" si="21"/>
        <v>0</v>
      </c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</row>
    <row r="107" spans="1:60" s="58" customFormat="1" ht="12.75" customHeight="1" x14ac:dyDescent="0.2">
      <c r="A107" s="1"/>
      <c r="B107" s="1"/>
      <c r="C107" s="84"/>
      <c r="D107" s="84"/>
      <c r="E107" s="84"/>
      <c r="F107" s="63"/>
      <c r="G107" s="1"/>
      <c r="H107" s="1"/>
      <c r="I107" s="1"/>
      <c r="J107" s="1"/>
      <c r="K107" s="1"/>
    </row>
    <row r="108" spans="1:60" s="58" customFormat="1" ht="12.75" customHeight="1" x14ac:dyDescent="0.2">
      <c r="A108" s="1"/>
      <c r="B108" s="1"/>
      <c r="C108" s="84"/>
      <c r="D108" s="84"/>
      <c r="E108" s="84"/>
      <c r="F108" s="63"/>
      <c r="G108" s="1"/>
      <c r="H108" s="1"/>
      <c r="I108" s="1"/>
      <c r="J108" s="1"/>
      <c r="K108" s="1"/>
    </row>
    <row r="109" spans="1:60" s="58" customFormat="1" ht="12.75" customHeight="1" x14ac:dyDescent="0.2">
      <c r="A109" s="1"/>
      <c r="B109" s="1"/>
      <c r="C109" s="84"/>
      <c r="D109" s="84"/>
      <c r="E109" s="84"/>
      <c r="F109" s="63"/>
      <c r="G109" s="1"/>
      <c r="H109" s="1"/>
      <c r="I109" s="1"/>
      <c r="J109" s="1"/>
      <c r="K109" s="1"/>
    </row>
    <row r="110" spans="1:60" s="57" customFormat="1" ht="12.75" customHeight="1" x14ac:dyDescent="0.2">
      <c r="A110" s="359" t="s">
        <v>118</v>
      </c>
      <c r="B110" s="359"/>
      <c r="C110" s="147"/>
      <c r="D110" s="147"/>
      <c r="E110" s="147"/>
      <c r="F110" s="416">
        <f t="shared" ref="F110:H110" si="22">F106+F79+F62</f>
        <v>-6951171.5800000001</v>
      </c>
      <c r="G110" s="170">
        <f t="shared" si="22"/>
        <v>-1637000</v>
      </c>
      <c r="H110" s="170">
        <f t="shared" si="22"/>
        <v>-469173</v>
      </c>
      <c r="I110" s="170">
        <f>I106+I79+I62</f>
        <v>-1203455</v>
      </c>
      <c r="J110" s="170">
        <f>J106+J79+J62</f>
        <v>-845517.76</v>
      </c>
      <c r="K110" s="170">
        <f>K106+K79+K62</f>
        <v>-894501</v>
      </c>
      <c r="L110" s="361">
        <f>L106+L79+L62</f>
        <v>-693180.82000000007</v>
      </c>
      <c r="M110" s="361">
        <f t="shared" ref="M110:AE110" si="23">M106+M79+M62</f>
        <v>-2973200</v>
      </c>
      <c r="N110" s="361">
        <f>N106+N79+N62</f>
        <v>-11000</v>
      </c>
      <c r="O110" s="360"/>
      <c r="P110" s="361"/>
      <c r="Q110" s="361">
        <f t="shared" si="23"/>
        <v>-1301000</v>
      </c>
      <c r="R110" s="361">
        <f t="shared" si="23"/>
        <v>-197100</v>
      </c>
      <c r="S110" s="361">
        <f t="shared" si="23"/>
        <v>-461000</v>
      </c>
      <c r="T110" s="361">
        <f t="shared" si="23"/>
        <v>-45750</v>
      </c>
      <c r="U110" s="361">
        <f t="shared" si="23"/>
        <v>-30500</v>
      </c>
      <c r="V110" s="361">
        <f t="shared" si="23"/>
        <v>0</v>
      </c>
      <c r="W110" s="361">
        <f t="shared" si="23"/>
        <v>0</v>
      </c>
      <c r="X110" s="361">
        <f t="shared" si="23"/>
        <v>0</v>
      </c>
      <c r="Y110" s="361">
        <f t="shared" si="23"/>
        <v>0</v>
      </c>
      <c r="Z110" s="361">
        <f t="shared" si="23"/>
        <v>-102357.15</v>
      </c>
      <c r="AA110" s="361">
        <f t="shared" si="23"/>
        <v>-356116.07750000001</v>
      </c>
      <c r="AB110" s="361">
        <f t="shared" si="23"/>
        <v>-386273.66587500001</v>
      </c>
      <c r="AC110" s="361">
        <f t="shared" si="23"/>
        <v>0</v>
      </c>
      <c r="AD110" s="361">
        <f t="shared" si="23"/>
        <v>0</v>
      </c>
      <c r="AE110" s="361">
        <f t="shared" si="23"/>
        <v>0</v>
      </c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  <c r="BD110" s="58"/>
      <c r="BE110" s="58"/>
      <c r="BF110" s="58"/>
      <c r="BG110" s="58"/>
      <c r="BH110" s="58"/>
    </row>
    <row r="111" spans="1:60" s="7" customFormat="1" ht="12.75" customHeight="1" x14ac:dyDescent="0.2">
      <c r="A111" s="417"/>
      <c r="B111" s="149"/>
      <c r="C111" s="148"/>
      <c r="D111" s="148"/>
      <c r="E111" s="148"/>
      <c r="F111" s="95"/>
      <c r="G111" s="17"/>
      <c r="H111" s="17"/>
      <c r="I111" s="17"/>
      <c r="J111" s="17"/>
      <c r="K111" s="17"/>
      <c r="L111" s="73"/>
      <c r="M111" s="73"/>
      <c r="N111" s="73"/>
      <c r="O111" s="101"/>
      <c r="P111" s="73"/>
      <c r="Q111" s="73"/>
      <c r="R111" s="73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58"/>
      <c r="BH111" s="58"/>
    </row>
    <row r="112" spans="1:60" s="57" customFormat="1" ht="12.75" customHeight="1" x14ac:dyDescent="0.2">
      <c r="A112" s="387" t="s">
        <v>119</v>
      </c>
      <c r="B112" s="391"/>
      <c r="C112" s="392"/>
      <c r="D112" s="392"/>
      <c r="E112" s="392"/>
      <c r="F112" s="393"/>
      <c r="G112" s="394"/>
      <c r="H112" s="390"/>
      <c r="I112" s="394"/>
      <c r="J112" s="390"/>
      <c r="K112" s="390"/>
      <c r="L112" s="273"/>
      <c r="M112" s="273"/>
      <c r="N112" s="273"/>
      <c r="O112" s="355"/>
      <c r="P112" s="273"/>
      <c r="Q112" s="273"/>
      <c r="R112" s="273"/>
      <c r="S112" s="394"/>
      <c r="T112" s="394"/>
      <c r="U112" s="394"/>
      <c r="V112" s="394"/>
      <c r="W112" s="394"/>
      <c r="X112" s="394"/>
      <c r="Y112" s="394"/>
      <c r="Z112" s="394"/>
      <c r="AA112" s="394"/>
      <c r="AB112" s="394"/>
      <c r="AC112" s="394"/>
      <c r="AD112" s="394"/>
      <c r="AE112" s="394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  <c r="BD112" s="58"/>
      <c r="BE112" s="58"/>
      <c r="BF112" s="58"/>
      <c r="BG112" s="58"/>
      <c r="BH112" s="58"/>
    </row>
    <row r="113" spans="1:60" s="7" customFormat="1" ht="12.75" hidden="1" customHeight="1" x14ac:dyDescent="0.2">
      <c r="A113" s="135" t="s">
        <v>250</v>
      </c>
      <c r="B113" s="135" t="s">
        <v>9</v>
      </c>
      <c r="C113" s="383">
        <v>8173</v>
      </c>
      <c r="D113" s="383">
        <v>8630</v>
      </c>
      <c r="E113" s="383">
        <v>7200</v>
      </c>
      <c r="F113" s="384">
        <f>SUM(H113,J113,L113:S113)</f>
        <v>-11613</v>
      </c>
      <c r="G113" s="146">
        <v>0</v>
      </c>
      <c r="H113" s="159">
        <v>-11613</v>
      </c>
      <c r="I113" s="146"/>
      <c r="J113" s="159"/>
      <c r="K113" s="159"/>
      <c r="L113" s="275"/>
      <c r="M113" s="275"/>
      <c r="N113" s="275"/>
      <c r="O113" s="254"/>
      <c r="P113" s="275"/>
      <c r="Q113" s="275"/>
      <c r="R113" s="275"/>
      <c r="S113" s="146"/>
      <c r="T113" s="146"/>
      <c r="U113" s="146"/>
      <c r="V113" s="146"/>
      <c r="W113" s="146"/>
      <c r="X113" s="146"/>
      <c r="Y113" s="146"/>
      <c r="Z113" s="146"/>
      <c r="AA113" s="146"/>
      <c r="AB113" s="146"/>
      <c r="AC113" s="146"/>
      <c r="AD113" s="146"/>
      <c r="AE113" s="146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58"/>
      <c r="BH113" s="58"/>
    </row>
    <row r="114" spans="1:60" s="57" customFormat="1" ht="12.75" customHeight="1" x14ac:dyDescent="0.2">
      <c r="A114" s="263" t="s">
        <v>120</v>
      </c>
      <c r="B114" s="387"/>
      <c r="C114" s="388"/>
      <c r="D114" s="388"/>
      <c r="E114" s="388"/>
      <c r="F114" s="389">
        <f>SUM(F113)</f>
        <v>-11613</v>
      </c>
      <c r="G114" s="390">
        <f>SUM(G113)</f>
        <v>0</v>
      </c>
      <c r="H114" s="390">
        <f>SUM(H113)</f>
        <v>-11613</v>
      </c>
      <c r="I114" s="390">
        <f>SUM(I113)</f>
        <v>0</v>
      </c>
      <c r="J114" s="390">
        <f>SUM(J113)</f>
        <v>0</v>
      </c>
      <c r="K114" s="390">
        <f t="shared" ref="K114:AE114" si="24">SUM(K113)</f>
        <v>0</v>
      </c>
      <c r="L114" s="271">
        <f>SUM(L113)</f>
        <v>0</v>
      </c>
      <c r="M114" s="271">
        <f t="shared" si="24"/>
        <v>0</v>
      </c>
      <c r="N114" s="271">
        <f>SUM(N113)</f>
        <v>0</v>
      </c>
      <c r="O114" s="264"/>
      <c r="P114" s="271"/>
      <c r="Q114" s="271">
        <f t="shared" si="24"/>
        <v>0</v>
      </c>
      <c r="R114" s="271">
        <f t="shared" si="24"/>
        <v>0</v>
      </c>
      <c r="S114" s="390">
        <f t="shared" si="24"/>
        <v>0</v>
      </c>
      <c r="T114" s="390">
        <f t="shared" si="24"/>
        <v>0</v>
      </c>
      <c r="U114" s="390">
        <f t="shared" si="24"/>
        <v>0</v>
      </c>
      <c r="V114" s="390">
        <f t="shared" si="24"/>
        <v>0</v>
      </c>
      <c r="W114" s="390">
        <f t="shared" si="24"/>
        <v>0</v>
      </c>
      <c r="X114" s="390">
        <f t="shared" si="24"/>
        <v>0</v>
      </c>
      <c r="Y114" s="390">
        <f t="shared" si="24"/>
        <v>0</v>
      </c>
      <c r="Z114" s="390">
        <f t="shared" si="24"/>
        <v>0</v>
      </c>
      <c r="AA114" s="390">
        <f t="shared" si="24"/>
        <v>0</v>
      </c>
      <c r="AB114" s="390">
        <f t="shared" si="24"/>
        <v>0</v>
      </c>
      <c r="AC114" s="390">
        <f t="shared" si="24"/>
        <v>0</v>
      </c>
      <c r="AD114" s="390">
        <f t="shared" si="24"/>
        <v>0</v>
      </c>
      <c r="AE114" s="390">
        <f t="shared" si="24"/>
        <v>0</v>
      </c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  <c r="AS114" s="58"/>
      <c r="AT114" s="58"/>
      <c r="AU114" s="58"/>
      <c r="AV114" s="58"/>
      <c r="AW114" s="58"/>
      <c r="AX114" s="58"/>
      <c r="AY114" s="58"/>
      <c r="AZ114" s="58"/>
      <c r="BA114" s="58"/>
      <c r="BB114" s="58"/>
      <c r="BC114" s="58"/>
      <c r="BD114" s="58"/>
      <c r="BE114" s="58"/>
      <c r="BF114" s="58"/>
      <c r="BG114" s="58"/>
      <c r="BH114" s="58"/>
    </row>
    <row r="115" spans="1:60" s="57" customFormat="1" ht="12.75" customHeight="1" x14ac:dyDescent="0.2">
      <c r="A115" s="387"/>
      <c r="B115" s="391"/>
      <c r="C115" s="392"/>
      <c r="D115" s="392"/>
      <c r="E115" s="392"/>
      <c r="F115" s="395"/>
      <c r="G115" s="390"/>
      <c r="H115" s="390"/>
      <c r="I115" s="390"/>
      <c r="J115" s="390"/>
      <c r="K115" s="390"/>
      <c r="L115" s="273"/>
      <c r="M115" s="273"/>
      <c r="N115" s="273"/>
      <c r="O115" s="355"/>
      <c r="P115" s="273"/>
      <c r="Q115" s="273"/>
      <c r="R115" s="273"/>
      <c r="S115" s="390"/>
      <c r="T115" s="394"/>
      <c r="U115" s="394"/>
      <c r="V115" s="394"/>
      <c r="W115" s="394"/>
      <c r="X115" s="394"/>
      <c r="Y115" s="394"/>
      <c r="Z115" s="394"/>
      <c r="AA115" s="394"/>
      <c r="AB115" s="394"/>
      <c r="AC115" s="394"/>
      <c r="AD115" s="394"/>
      <c r="AE115" s="394"/>
      <c r="AF115" s="58"/>
      <c r="AG115" s="58"/>
      <c r="AH115" s="58"/>
      <c r="AI115" s="58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58"/>
      <c r="BH115" s="58"/>
    </row>
    <row r="116" spans="1:60" s="57" customFormat="1" ht="12.75" customHeight="1" x14ac:dyDescent="0.2">
      <c r="A116" s="244" t="s">
        <v>251</v>
      </c>
      <c r="B116" s="244"/>
      <c r="C116" s="369"/>
      <c r="D116" s="369"/>
      <c r="E116" s="369"/>
      <c r="F116" s="373"/>
      <c r="G116" s="418">
        <f>G7+G16+G22+G39+G62+G79+G106+G114-G20-G28</f>
        <v>-2397490</v>
      </c>
      <c r="H116" s="418">
        <f>H7+H16+H22+H39+H62+H79+H106+H114-H20-H28-H66</f>
        <v>-833102</v>
      </c>
      <c r="I116" s="418">
        <f>I7+I16+I19+I39+I62+I79+I106-I67</f>
        <v>-1785749</v>
      </c>
      <c r="J116" s="418">
        <f>J7+J16+J19+J39+J62+J79+J106-J67</f>
        <v>-1378209.76</v>
      </c>
      <c r="K116" s="418">
        <f>K7+K19+K39+K62+K79+K106</f>
        <v>-1169501</v>
      </c>
      <c r="L116" s="336">
        <f>L7+L19+L39+L62+L79+L106</f>
        <v>-793390.3</v>
      </c>
      <c r="M116" s="336">
        <f t="shared" ref="M116:AE116" si="25">M7+M19+M39+M62+M79+M106</f>
        <v>-5488200</v>
      </c>
      <c r="N116" s="336">
        <f>N7+N19+N39+N62+N79+N106</f>
        <v>-13281.17</v>
      </c>
      <c r="O116" s="371"/>
      <c r="P116" s="336"/>
      <c r="Q116" s="336">
        <f t="shared" si="25"/>
        <v>-1506000</v>
      </c>
      <c r="R116" s="336">
        <f t="shared" si="25"/>
        <v>-352100</v>
      </c>
      <c r="S116" s="336">
        <f t="shared" si="25"/>
        <v>-471000</v>
      </c>
      <c r="T116" s="336">
        <f t="shared" si="25"/>
        <v>-45750</v>
      </c>
      <c r="U116" s="336">
        <f t="shared" si="25"/>
        <v>-30500</v>
      </c>
      <c r="V116" s="336">
        <f t="shared" si="25"/>
        <v>0</v>
      </c>
      <c r="W116" s="336">
        <f t="shared" si="25"/>
        <v>0</v>
      </c>
      <c r="X116" s="336">
        <f t="shared" si="25"/>
        <v>0</v>
      </c>
      <c r="Y116" s="336">
        <f t="shared" si="25"/>
        <v>0</v>
      </c>
      <c r="Z116" s="336" t="e">
        <f t="shared" si="25"/>
        <v>#VALUE!</v>
      </c>
      <c r="AA116" s="336">
        <f t="shared" si="25"/>
        <v>-473860.05249999999</v>
      </c>
      <c r="AB116" s="336">
        <f t="shared" si="25"/>
        <v>-389773.66587500001</v>
      </c>
      <c r="AC116" s="336">
        <f t="shared" si="25"/>
        <v>-29615.462500000001</v>
      </c>
      <c r="AD116" s="336">
        <f t="shared" si="25"/>
        <v>0</v>
      </c>
      <c r="AE116" s="336">
        <f t="shared" si="25"/>
        <v>0</v>
      </c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</row>
    <row r="117" spans="1:60" s="57" customFormat="1" ht="12.75" customHeight="1" x14ac:dyDescent="0.2">
      <c r="A117" s="244" t="s">
        <v>252</v>
      </c>
      <c r="B117" s="244"/>
      <c r="C117" s="369"/>
      <c r="D117" s="369"/>
      <c r="E117" s="369"/>
      <c r="F117" s="373"/>
      <c r="G117" s="418">
        <f>G20+G28</f>
        <v>173009</v>
      </c>
      <c r="H117" s="418">
        <f>H20+H28+H66</f>
        <v>88704</v>
      </c>
      <c r="I117" s="418">
        <f>I67+I20</f>
        <v>130000</v>
      </c>
      <c r="J117" s="418">
        <f>J67+J20</f>
        <v>108786</v>
      </c>
      <c r="K117" s="418">
        <f>K15+K20+K67</f>
        <v>100000</v>
      </c>
      <c r="L117" s="336">
        <f>L15+L20+L67</f>
        <v>125759.87</v>
      </c>
      <c r="M117" s="336">
        <f t="shared" ref="M117:AE117" si="26">M15+M20+M67</f>
        <v>0</v>
      </c>
      <c r="N117" s="336">
        <f>N15+N20+N67</f>
        <v>0</v>
      </c>
      <c r="O117" s="371"/>
      <c r="P117" s="336"/>
      <c r="Q117" s="336">
        <f t="shared" si="26"/>
        <v>0</v>
      </c>
      <c r="R117" s="336">
        <f t="shared" si="26"/>
        <v>0</v>
      </c>
      <c r="S117" s="336">
        <f t="shared" si="26"/>
        <v>0</v>
      </c>
      <c r="T117" s="336">
        <f t="shared" si="26"/>
        <v>0</v>
      </c>
      <c r="U117" s="336">
        <f t="shared" si="26"/>
        <v>0</v>
      </c>
      <c r="V117" s="336">
        <f t="shared" si="26"/>
        <v>0</v>
      </c>
      <c r="W117" s="336">
        <f t="shared" si="26"/>
        <v>0</v>
      </c>
      <c r="X117" s="336">
        <f t="shared" si="26"/>
        <v>0</v>
      </c>
      <c r="Y117" s="336">
        <f t="shared" si="26"/>
        <v>0</v>
      </c>
      <c r="Z117" s="336" t="e">
        <f t="shared" si="26"/>
        <v>#VALUE!</v>
      </c>
      <c r="AA117" s="336">
        <f t="shared" si="26"/>
        <v>0</v>
      </c>
      <c r="AB117" s="336">
        <f t="shared" si="26"/>
        <v>0</v>
      </c>
      <c r="AC117" s="336">
        <f t="shared" si="26"/>
        <v>0</v>
      </c>
      <c r="AD117" s="336">
        <f t="shared" si="26"/>
        <v>0</v>
      </c>
      <c r="AE117" s="336">
        <f t="shared" si="26"/>
        <v>0</v>
      </c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</row>
    <row r="118" spans="1:60" s="57" customFormat="1" ht="12.75" customHeight="1" x14ac:dyDescent="0.2">
      <c r="A118" s="244" t="s">
        <v>124</v>
      </c>
      <c r="B118" s="244"/>
      <c r="C118" s="369"/>
      <c r="D118" s="369"/>
      <c r="E118" s="369"/>
      <c r="F118" s="373"/>
      <c r="G118" s="418">
        <f>G116+G117</f>
        <v>-2224481</v>
      </c>
      <c r="H118" s="418">
        <f>H116+H117</f>
        <v>-744398</v>
      </c>
      <c r="I118" s="418">
        <f>I116+I117</f>
        <v>-1655749</v>
      </c>
      <c r="J118" s="418">
        <f>J116+J117</f>
        <v>-1269423.76</v>
      </c>
      <c r="K118" s="418">
        <f t="shared" ref="K118" si="27">K116+K117</f>
        <v>-1069501</v>
      </c>
      <c r="L118" s="336">
        <f>L116+L117</f>
        <v>-667630.43000000005</v>
      </c>
      <c r="M118" s="336">
        <f t="shared" ref="M118" si="28">M116+M117</f>
        <v>-5488200</v>
      </c>
      <c r="N118" s="336">
        <f>N116+N117</f>
        <v>-13281.17</v>
      </c>
      <c r="O118" s="371"/>
      <c r="P118" s="336"/>
      <c r="Q118" s="336">
        <f t="shared" ref="Q118" si="29">Q116+Q117</f>
        <v>-1506000</v>
      </c>
      <c r="R118" s="336">
        <f t="shared" ref="R118" si="30">R116+R117</f>
        <v>-352100</v>
      </c>
      <c r="S118" s="336">
        <f t="shared" ref="S118" si="31">S116+S117</f>
        <v>-471000</v>
      </c>
      <c r="T118" s="336">
        <f t="shared" ref="T118" si="32">T116+T117</f>
        <v>-45750</v>
      </c>
      <c r="U118" s="336">
        <f t="shared" ref="U118" si="33">U116+U117</f>
        <v>-30500</v>
      </c>
      <c r="V118" s="336">
        <f t="shared" ref="V118" si="34">V116+V117</f>
        <v>0</v>
      </c>
      <c r="W118" s="336">
        <f t="shared" ref="W118" si="35">W116+W117</f>
        <v>0</v>
      </c>
      <c r="X118" s="336">
        <f t="shared" ref="X118" si="36">X116+X117</f>
        <v>0</v>
      </c>
      <c r="Y118" s="336">
        <f t="shared" ref="Y118" si="37">Y116+Y117</f>
        <v>0</v>
      </c>
      <c r="Z118" s="336" t="e">
        <f t="shared" ref="Z118" si="38">Z116+Z117</f>
        <v>#VALUE!</v>
      </c>
      <c r="AA118" s="336">
        <f t="shared" ref="AA118" si="39">AA116+AA117</f>
        <v>-473860.05249999999</v>
      </c>
      <c r="AB118" s="336">
        <f t="shared" ref="AB118" si="40">AB116+AB117</f>
        <v>-389773.66587500001</v>
      </c>
      <c r="AC118" s="336">
        <f t="shared" ref="AC118" si="41">AC116+AC117</f>
        <v>-29615.462500000001</v>
      </c>
      <c r="AD118" s="336">
        <f t="shared" ref="AD118" si="42">AD116+AD117</f>
        <v>0</v>
      </c>
      <c r="AE118" s="336">
        <f t="shared" ref="AE118" si="43">AE116+AE117</f>
        <v>0</v>
      </c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</row>
    <row r="119" spans="1:60" s="7" customFormat="1" ht="13.5" customHeight="1" x14ac:dyDescent="0.2">
      <c r="A119" s="3"/>
      <c r="B119" s="3"/>
      <c r="C119" s="69"/>
      <c r="D119" s="69"/>
      <c r="E119" s="69"/>
      <c r="F119" s="95"/>
      <c r="G119" s="75"/>
      <c r="H119" s="75"/>
      <c r="I119" s="17"/>
      <c r="J119" s="17"/>
      <c r="K119" s="17"/>
      <c r="L119" s="17"/>
      <c r="M119" s="17"/>
      <c r="N119" s="75"/>
      <c r="O119" s="75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</row>
    <row r="120" spans="1:60" ht="13.5" customHeight="1" x14ac:dyDescent="0.2">
      <c r="G120" s="76"/>
      <c r="I120" s="14"/>
      <c r="L120" s="1"/>
      <c r="M120" s="1"/>
      <c r="P120" s="1"/>
      <c r="S120" s="14"/>
      <c r="T120" s="14"/>
      <c r="U120" s="14"/>
      <c r="V120" s="14"/>
      <c r="W120" s="14"/>
      <c r="X120" s="14"/>
      <c r="Y120" s="14"/>
    </row>
    <row r="121" spans="1:60" ht="13.5" customHeight="1" x14ac:dyDescent="0.2">
      <c r="G121" s="76"/>
      <c r="I121" s="14"/>
      <c r="L121" s="1"/>
      <c r="M121" s="1"/>
      <c r="P121" s="1"/>
    </row>
    <row r="122" spans="1:60" ht="13.5" customHeight="1" x14ac:dyDescent="0.2">
      <c r="L122" s="1"/>
      <c r="M122" s="1"/>
      <c r="P122" s="1"/>
    </row>
    <row r="123" spans="1:60" ht="13.5" customHeight="1" x14ac:dyDescent="0.2">
      <c r="A123" s="1" t="s">
        <v>183</v>
      </c>
      <c r="L123" s="1"/>
      <c r="M123" s="1"/>
      <c r="P123" s="1"/>
    </row>
    <row r="124" spans="1:60" ht="13.5" customHeight="1" x14ac:dyDescent="0.2">
      <c r="A124" s="83" t="s">
        <v>185</v>
      </c>
      <c r="B124" s="83" t="s">
        <v>267</v>
      </c>
      <c r="L124" s="1"/>
      <c r="M124" s="1"/>
      <c r="P124" s="1"/>
    </row>
    <row r="125" spans="1:60" ht="13.5" customHeight="1" x14ac:dyDescent="0.2">
      <c r="A125" s="1" t="s">
        <v>5</v>
      </c>
      <c r="B125" s="14">
        <f>L7</f>
        <v>0</v>
      </c>
      <c r="C125" s="84"/>
      <c r="D125" s="84"/>
      <c r="E125" s="84"/>
      <c r="G125" s="1"/>
      <c r="H125" s="1"/>
      <c r="L125" s="1"/>
      <c r="M125" s="1"/>
      <c r="N125" s="1"/>
      <c r="O125" s="1"/>
      <c r="P125" s="1"/>
    </row>
    <row r="126" spans="1:60" ht="13.5" customHeight="1" x14ac:dyDescent="0.2">
      <c r="A126" s="1" t="s">
        <v>121</v>
      </c>
      <c r="B126" s="14">
        <f>L16</f>
        <v>46924.43</v>
      </c>
      <c r="C126" s="84"/>
      <c r="D126" s="84"/>
      <c r="E126" s="84"/>
      <c r="G126" s="1"/>
      <c r="H126" s="1"/>
      <c r="L126" s="1"/>
      <c r="M126" s="1"/>
      <c r="N126" s="1"/>
      <c r="O126" s="1"/>
      <c r="P126" s="1"/>
    </row>
    <row r="127" spans="1:60" ht="13.5" customHeight="1" x14ac:dyDescent="0.2">
      <c r="A127" s="1" t="s">
        <v>193</v>
      </c>
      <c r="B127" s="14">
        <f>L19</f>
        <v>-1</v>
      </c>
      <c r="C127" s="84"/>
      <c r="D127" s="84"/>
      <c r="E127" s="84"/>
      <c r="G127" s="1"/>
      <c r="H127" s="1"/>
      <c r="L127" s="1"/>
      <c r="M127" s="1"/>
      <c r="N127" s="1"/>
      <c r="O127" s="1"/>
      <c r="P127" s="1"/>
    </row>
    <row r="128" spans="1:60" ht="13.5" customHeight="1" x14ac:dyDescent="0.2">
      <c r="A128" s="1" t="s">
        <v>268</v>
      </c>
      <c r="B128" s="14">
        <f>L20+L21</f>
        <v>78835.44</v>
      </c>
      <c r="C128" s="84"/>
      <c r="D128" s="84"/>
      <c r="E128" s="84"/>
      <c r="G128" s="1"/>
      <c r="H128" s="1"/>
      <c r="L128" s="1"/>
      <c r="M128" s="1"/>
      <c r="N128" s="1"/>
      <c r="O128" s="1"/>
      <c r="P128" s="1"/>
    </row>
    <row r="129" spans="1:16" ht="13.5" customHeight="1" x14ac:dyDescent="0.2">
      <c r="A129" s="1" t="s">
        <v>169</v>
      </c>
      <c r="B129" s="14">
        <f>L39</f>
        <v>-100208.48</v>
      </c>
      <c r="C129" s="84"/>
      <c r="D129" s="84"/>
      <c r="E129" s="84"/>
      <c r="G129" s="1"/>
      <c r="H129" s="1"/>
      <c r="L129" s="1"/>
      <c r="M129" s="1"/>
      <c r="N129" s="1"/>
      <c r="O129" s="1"/>
      <c r="P129" s="1"/>
    </row>
    <row r="130" spans="1:16" ht="13.5" customHeight="1" x14ac:dyDescent="0.2">
      <c r="A130" s="1" t="s">
        <v>198</v>
      </c>
      <c r="B130" s="14">
        <f>L62</f>
        <v>-231787.31</v>
      </c>
      <c r="C130" s="84"/>
      <c r="D130" s="84"/>
      <c r="E130" s="84"/>
      <c r="G130" s="1"/>
      <c r="H130" s="1"/>
      <c r="L130" s="1"/>
      <c r="M130" s="1"/>
      <c r="N130" s="1"/>
      <c r="O130" s="1"/>
      <c r="P130" s="1"/>
    </row>
    <row r="131" spans="1:16" ht="13.5" customHeight="1" x14ac:dyDescent="0.2">
      <c r="A131" s="1" t="s">
        <v>199</v>
      </c>
      <c r="B131" s="14">
        <f>L79</f>
        <v>-92641.86</v>
      </c>
      <c r="C131" s="84"/>
      <c r="D131" s="84"/>
      <c r="E131" s="84"/>
      <c r="G131" s="1"/>
      <c r="H131" s="1"/>
      <c r="L131" s="1"/>
      <c r="M131" s="1"/>
      <c r="N131" s="1"/>
      <c r="O131" s="1"/>
      <c r="P131" s="1"/>
    </row>
    <row r="132" spans="1:16" ht="13.5" customHeight="1" x14ac:dyDescent="0.2">
      <c r="A132" s="1" t="s">
        <v>265</v>
      </c>
      <c r="B132" s="14">
        <f>L106</f>
        <v>-368751.65</v>
      </c>
      <c r="C132" s="84"/>
      <c r="D132" s="84"/>
      <c r="E132" s="84"/>
      <c r="G132" s="1"/>
      <c r="H132" s="1"/>
      <c r="L132" s="1"/>
      <c r="M132" s="1"/>
      <c r="N132" s="1"/>
      <c r="O132" s="1"/>
      <c r="P132" s="1"/>
    </row>
    <row r="133" spans="1:16" ht="13.5" customHeight="1" x14ac:dyDescent="0.2">
      <c r="A133" s="1" t="s">
        <v>119</v>
      </c>
      <c r="B133" s="14">
        <f>L114</f>
        <v>0</v>
      </c>
      <c r="C133" s="84"/>
      <c r="D133" s="84"/>
      <c r="E133" s="84"/>
      <c r="G133" s="1"/>
      <c r="H133" s="1"/>
      <c r="L133" s="1"/>
      <c r="M133" s="1"/>
      <c r="N133" s="1"/>
      <c r="O133" s="1"/>
      <c r="P133" s="1"/>
    </row>
    <row r="134" spans="1:16" x14ac:dyDescent="0.2">
      <c r="L134" s="1"/>
      <c r="M134" s="1"/>
      <c r="P134" s="1"/>
    </row>
    <row r="135" spans="1:16" x14ac:dyDescent="0.2">
      <c r="L135" s="1"/>
      <c r="M135" s="1"/>
      <c r="P135" s="1"/>
    </row>
    <row r="136" spans="1:16" x14ac:dyDescent="0.2">
      <c r="L136" s="1"/>
      <c r="M136" s="1"/>
      <c r="P136" s="1"/>
    </row>
    <row r="137" spans="1:16" x14ac:dyDescent="0.2">
      <c r="L137" s="1"/>
      <c r="M137" s="1"/>
      <c r="P137" s="1"/>
    </row>
    <row r="138" spans="1:16" x14ac:dyDescent="0.2">
      <c r="L138" s="1"/>
      <c r="M138" s="1"/>
      <c r="P138" s="1"/>
    </row>
    <row r="139" spans="1:16" x14ac:dyDescent="0.2">
      <c r="L139" s="1"/>
      <c r="M139" s="1"/>
      <c r="P139" s="1"/>
    </row>
    <row r="140" spans="1:16" x14ac:dyDescent="0.2">
      <c r="L140" s="1"/>
      <c r="M140" s="1"/>
      <c r="P140" s="1"/>
    </row>
    <row r="141" spans="1:16" x14ac:dyDescent="0.2">
      <c r="L141" s="1"/>
      <c r="M141" s="1"/>
      <c r="P141" s="1"/>
    </row>
    <row r="142" spans="1:16" x14ac:dyDescent="0.2">
      <c r="L142" s="1"/>
      <c r="M142" s="1"/>
      <c r="P142" s="1"/>
    </row>
    <row r="143" spans="1:16" x14ac:dyDescent="0.2">
      <c r="L143" s="1"/>
      <c r="M143" s="1"/>
      <c r="P143" s="1"/>
    </row>
    <row r="144" spans="1:16" x14ac:dyDescent="0.2">
      <c r="L144" s="1"/>
      <c r="M144" s="1"/>
      <c r="P144" s="1"/>
    </row>
    <row r="145" spans="12:16" x14ac:dyDescent="0.2">
      <c r="L145" s="1"/>
      <c r="M145" s="1"/>
      <c r="P145" s="1"/>
    </row>
    <row r="146" spans="12:16" x14ac:dyDescent="0.2">
      <c r="L146" s="1"/>
      <c r="M146" s="1"/>
      <c r="P146" s="1"/>
    </row>
    <row r="147" spans="12:16" x14ac:dyDescent="0.2">
      <c r="L147" s="1"/>
      <c r="M147" s="1"/>
      <c r="P147" s="1"/>
    </row>
    <row r="148" spans="12:16" x14ac:dyDescent="0.2">
      <c r="L148" s="1"/>
      <c r="M148" s="1"/>
      <c r="P148" s="1"/>
    </row>
    <row r="149" spans="12:16" x14ac:dyDescent="0.2">
      <c r="L149" s="1"/>
      <c r="M149" s="1"/>
      <c r="P149" s="1"/>
    </row>
    <row r="150" spans="12:16" x14ac:dyDescent="0.2">
      <c r="L150" s="1"/>
      <c r="M150" s="1"/>
      <c r="P150" s="1"/>
    </row>
    <row r="151" spans="12:16" x14ac:dyDescent="0.2">
      <c r="L151" s="1"/>
      <c r="M151" s="1"/>
      <c r="P151" s="1"/>
    </row>
    <row r="152" spans="12:16" x14ac:dyDescent="0.2">
      <c r="L152" s="1"/>
      <c r="M152" s="1"/>
      <c r="P152" s="1"/>
    </row>
    <row r="153" spans="12:16" x14ac:dyDescent="0.2">
      <c r="L153" s="1"/>
      <c r="M153" s="1"/>
      <c r="P153" s="1"/>
    </row>
    <row r="154" spans="12:16" x14ac:dyDescent="0.2">
      <c r="L154" s="1"/>
      <c r="M154" s="1"/>
      <c r="P154" s="1"/>
    </row>
    <row r="155" spans="12:16" x14ac:dyDescent="0.2">
      <c r="L155" s="1"/>
      <c r="M155" s="1"/>
      <c r="P155" s="1"/>
    </row>
    <row r="156" spans="12:16" x14ac:dyDescent="0.2">
      <c r="L156" s="1"/>
      <c r="M156" s="1"/>
      <c r="P156" s="1"/>
    </row>
    <row r="157" spans="12:16" x14ac:dyDescent="0.2">
      <c r="L157" s="1"/>
      <c r="M157" s="1"/>
      <c r="P157" s="1"/>
    </row>
    <row r="158" spans="12:16" x14ac:dyDescent="0.2">
      <c r="L158" s="1"/>
      <c r="M158" s="1"/>
      <c r="P158" s="1"/>
    </row>
    <row r="159" spans="12:16" x14ac:dyDescent="0.2">
      <c r="L159" s="1"/>
      <c r="M159" s="1"/>
      <c r="P159" s="1"/>
    </row>
    <row r="160" spans="12:16" x14ac:dyDescent="0.2">
      <c r="L160" s="1"/>
      <c r="M160" s="1"/>
      <c r="P160" s="1"/>
    </row>
    <row r="161" spans="12:16" x14ac:dyDescent="0.2">
      <c r="L161" s="1"/>
      <c r="M161" s="1"/>
      <c r="P161" s="1"/>
    </row>
    <row r="162" spans="12:16" x14ac:dyDescent="0.2">
      <c r="L162" s="1"/>
      <c r="M162" s="1"/>
      <c r="P162" s="1"/>
    </row>
    <row r="163" spans="12:16" x14ac:dyDescent="0.2">
      <c r="L163" s="1"/>
      <c r="M163" s="1"/>
      <c r="P163" s="1"/>
    </row>
    <row r="164" spans="12:16" x14ac:dyDescent="0.2">
      <c r="L164" s="1"/>
      <c r="M164" s="1"/>
      <c r="P164" s="1"/>
    </row>
    <row r="165" spans="12:16" x14ac:dyDescent="0.2">
      <c r="L165" s="1"/>
      <c r="M165" s="1"/>
      <c r="P165" s="1"/>
    </row>
    <row r="166" spans="12:16" x14ac:dyDescent="0.2">
      <c r="L166" s="1"/>
      <c r="M166" s="1"/>
      <c r="P166" s="1"/>
    </row>
    <row r="167" spans="12:16" x14ac:dyDescent="0.2">
      <c r="L167" s="1"/>
      <c r="M167" s="1"/>
      <c r="P167" s="1"/>
    </row>
    <row r="168" spans="12:16" x14ac:dyDescent="0.2">
      <c r="L168" s="1"/>
      <c r="M168" s="1"/>
      <c r="P168" s="1"/>
    </row>
    <row r="169" spans="12:16" x14ac:dyDescent="0.2">
      <c r="L169" s="1"/>
      <c r="M169" s="1"/>
      <c r="P169" s="1"/>
    </row>
    <row r="170" spans="12:16" x14ac:dyDescent="0.2">
      <c r="L170" s="1"/>
      <c r="M170" s="1"/>
      <c r="P170" s="1"/>
    </row>
    <row r="171" spans="12:16" x14ac:dyDescent="0.2">
      <c r="L171" s="1"/>
      <c r="M171" s="1"/>
      <c r="P171" s="1"/>
    </row>
    <row r="172" spans="12:16" x14ac:dyDescent="0.2">
      <c r="L172" s="1"/>
      <c r="M172" s="1"/>
      <c r="P172" s="1"/>
    </row>
    <row r="173" spans="12:16" x14ac:dyDescent="0.2">
      <c r="L173" s="1"/>
      <c r="M173" s="1"/>
      <c r="P173" s="1"/>
    </row>
    <row r="174" spans="12:16" x14ac:dyDescent="0.2">
      <c r="L174" s="1"/>
      <c r="M174" s="1"/>
      <c r="P174" s="1"/>
    </row>
    <row r="175" spans="12:16" x14ac:dyDescent="0.2">
      <c r="L175" s="1"/>
      <c r="M175" s="1"/>
      <c r="P175" s="1"/>
    </row>
    <row r="176" spans="12:16" x14ac:dyDescent="0.2">
      <c r="L176" s="1"/>
      <c r="M176" s="1"/>
      <c r="P176" s="1"/>
    </row>
    <row r="177" spans="12:16" x14ac:dyDescent="0.2">
      <c r="L177" s="1"/>
      <c r="M177" s="1"/>
      <c r="P177" s="1"/>
    </row>
    <row r="178" spans="12:16" x14ac:dyDescent="0.2">
      <c r="L178" s="1"/>
      <c r="M178" s="1"/>
      <c r="P178" s="1"/>
    </row>
    <row r="179" spans="12:16" x14ac:dyDescent="0.2">
      <c r="L179" s="1"/>
      <c r="M179" s="1"/>
      <c r="P179" s="1"/>
    </row>
    <row r="180" spans="12:16" x14ac:dyDescent="0.2">
      <c r="L180" s="1"/>
      <c r="M180" s="1"/>
      <c r="P180" s="1"/>
    </row>
    <row r="181" spans="12:16" x14ac:dyDescent="0.2">
      <c r="L181" s="1"/>
      <c r="M181" s="1"/>
      <c r="P181" s="1"/>
    </row>
    <row r="182" spans="12:16" x14ac:dyDescent="0.2">
      <c r="L182" s="1"/>
      <c r="M182" s="1"/>
      <c r="P182" s="1"/>
    </row>
    <row r="183" spans="12:16" x14ac:dyDescent="0.2">
      <c r="L183" s="1"/>
      <c r="M183" s="1"/>
      <c r="P183" s="1"/>
    </row>
    <row r="184" spans="12:16" x14ac:dyDescent="0.2">
      <c r="L184" s="1"/>
      <c r="M184" s="1"/>
      <c r="P184" s="1"/>
    </row>
    <row r="185" spans="12:16" x14ac:dyDescent="0.2">
      <c r="L185" s="1"/>
      <c r="M185" s="1"/>
      <c r="P185" s="1"/>
    </row>
    <row r="186" spans="12:16" x14ac:dyDescent="0.2">
      <c r="L186" s="1"/>
      <c r="M186" s="1"/>
      <c r="P186" s="1"/>
    </row>
    <row r="187" spans="12:16" x14ac:dyDescent="0.2">
      <c r="L187" s="1"/>
      <c r="M187" s="1"/>
      <c r="P187" s="1"/>
    </row>
    <row r="188" spans="12:16" x14ac:dyDescent="0.2">
      <c r="L188" s="1"/>
      <c r="M188" s="1"/>
      <c r="P188" s="1"/>
    </row>
    <row r="189" spans="12:16" x14ac:dyDescent="0.2">
      <c r="L189" s="1"/>
      <c r="M189" s="1"/>
      <c r="P189" s="1"/>
    </row>
    <row r="190" spans="12:16" x14ac:dyDescent="0.2">
      <c r="L190" s="1"/>
      <c r="M190" s="1"/>
      <c r="P190" s="1"/>
    </row>
    <row r="191" spans="12:16" x14ac:dyDescent="0.2">
      <c r="L191" s="1"/>
      <c r="M191" s="1"/>
      <c r="P191" s="1"/>
    </row>
    <row r="192" spans="12:16" x14ac:dyDescent="0.2">
      <c r="L192" s="1"/>
      <c r="M192" s="1"/>
      <c r="P192" s="1"/>
    </row>
    <row r="193" spans="12:16" x14ac:dyDescent="0.2">
      <c r="L193" s="1"/>
      <c r="M193" s="1"/>
      <c r="P193" s="1"/>
    </row>
    <row r="194" spans="12:16" x14ac:dyDescent="0.2">
      <c r="L194" s="1"/>
      <c r="M194" s="1"/>
      <c r="P194" s="1"/>
    </row>
    <row r="195" spans="12:16" x14ac:dyDescent="0.2">
      <c r="L195" s="1"/>
      <c r="M195" s="1"/>
      <c r="P195" s="1"/>
    </row>
    <row r="196" spans="12:16" x14ac:dyDescent="0.2">
      <c r="L196" s="1"/>
      <c r="M196" s="1"/>
      <c r="P196" s="1"/>
    </row>
    <row r="197" spans="12:16" x14ac:dyDescent="0.2">
      <c r="L197" s="1"/>
      <c r="M197" s="1"/>
      <c r="P197" s="1"/>
    </row>
    <row r="198" spans="12:16" x14ac:dyDescent="0.2">
      <c r="L198" s="1"/>
      <c r="M198" s="1"/>
      <c r="P198" s="1"/>
    </row>
    <row r="199" spans="12:16" x14ac:dyDescent="0.2">
      <c r="L199" s="1"/>
      <c r="M199" s="1"/>
      <c r="P199" s="1"/>
    </row>
    <row r="200" spans="12:16" x14ac:dyDescent="0.2">
      <c r="L200" s="1"/>
      <c r="M200" s="1"/>
      <c r="P200" s="1"/>
    </row>
    <row r="201" spans="12:16" x14ac:dyDescent="0.2">
      <c r="L201" s="1"/>
      <c r="M201" s="1"/>
      <c r="P201" s="1"/>
    </row>
    <row r="202" spans="12:16" x14ac:dyDescent="0.2">
      <c r="L202" s="1"/>
      <c r="M202" s="1"/>
      <c r="P202" s="1"/>
    </row>
    <row r="203" spans="12:16" x14ac:dyDescent="0.2">
      <c r="L203" s="1"/>
      <c r="M203" s="1"/>
      <c r="P203" s="1"/>
    </row>
    <row r="204" spans="12:16" x14ac:dyDescent="0.2">
      <c r="L204" s="1"/>
      <c r="M204" s="1"/>
      <c r="P204" s="1"/>
    </row>
    <row r="205" spans="12:16" x14ac:dyDescent="0.2">
      <c r="L205" s="1"/>
      <c r="M205" s="1"/>
      <c r="P205" s="1"/>
    </row>
    <row r="206" spans="12:16" x14ac:dyDescent="0.2">
      <c r="L206" s="1"/>
      <c r="M206" s="1"/>
      <c r="P206" s="1"/>
    </row>
    <row r="207" spans="12:16" x14ac:dyDescent="0.2">
      <c r="L207" s="1"/>
      <c r="M207" s="1"/>
      <c r="P207" s="1"/>
    </row>
    <row r="208" spans="12:16" x14ac:dyDescent="0.2">
      <c r="L208" s="1"/>
      <c r="M208" s="1"/>
      <c r="P208" s="1"/>
    </row>
    <row r="209" spans="12:16" x14ac:dyDescent="0.2">
      <c r="L209" s="1"/>
      <c r="M209" s="1"/>
      <c r="P209" s="1"/>
    </row>
    <row r="210" spans="12:16" x14ac:dyDescent="0.2">
      <c r="L210" s="1"/>
      <c r="M210" s="1"/>
      <c r="P210" s="1"/>
    </row>
    <row r="211" spans="12:16" x14ac:dyDescent="0.2">
      <c r="L211" s="1"/>
      <c r="M211" s="1"/>
      <c r="P211" s="1"/>
    </row>
    <row r="212" spans="12:16" x14ac:dyDescent="0.2">
      <c r="L212" s="1"/>
      <c r="M212" s="1"/>
      <c r="P212" s="1"/>
    </row>
    <row r="213" spans="12:16" x14ac:dyDescent="0.2">
      <c r="L213" s="1"/>
      <c r="M213" s="1"/>
      <c r="P213" s="1"/>
    </row>
    <row r="214" spans="12:16" x14ac:dyDescent="0.2">
      <c r="L214" s="1"/>
      <c r="M214" s="1"/>
      <c r="P214" s="1"/>
    </row>
    <row r="215" spans="12:16" x14ac:dyDescent="0.2">
      <c r="L215" s="1"/>
      <c r="M215" s="1"/>
      <c r="P215" s="1"/>
    </row>
    <row r="216" spans="12:16" x14ac:dyDescent="0.2">
      <c r="L216" s="1"/>
      <c r="M216" s="1"/>
      <c r="P216" s="1"/>
    </row>
    <row r="217" spans="12:16" x14ac:dyDescent="0.2">
      <c r="L217" s="1"/>
      <c r="M217" s="1"/>
      <c r="P217" s="1"/>
    </row>
    <row r="218" spans="12:16" x14ac:dyDescent="0.2">
      <c r="L218" s="1"/>
      <c r="M218" s="1"/>
      <c r="P218" s="1"/>
    </row>
    <row r="219" spans="12:16" x14ac:dyDescent="0.2">
      <c r="L219" s="1"/>
      <c r="M219" s="1"/>
      <c r="P219" s="1"/>
    </row>
    <row r="220" spans="12:16" x14ac:dyDescent="0.2">
      <c r="L220" s="1"/>
      <c r="M220" s="1"/>
      <c r="P220" s="1"/>
    </row>
    <row r="221" spans="12:16" x14ac:dyDescent="0.2">
      <c r="L221" s="1"/>
      <c r="M221" s="1"/>
      <c r="P221" s="1"/>
    </row>
    <row r="222" spans="12:16" x14ac:dyDescent="0.2">
      <c r="L222" s="1"/>
      <c r="M222" s="1"/>
      <c r="P222" s="1"/>
    </row>
    <row r="223" spans="12:16" x14ac:dyDescent="0.2">
      <c r="L223" s="1"/>
      <c r="M223" s="1"/>
      <c r="P223" s="1"/>
    </row>
    <row r="224" spans="12:16" x14ac:dyDescent="0.2">
      <c r="L224" s="1"/>
      <c r="M224" s="1"/>
      <c r="P224" s="1"/>
    </row>
    <row r="225" spans="12:16" x14ac:dyDescent="0.2">
      <c r="L225" s="1"/>
      <c r="M225" s="1"/>
      <c r="P225" s="1"/>
    </row>
    <row r="226" spans="12:16" x14ac:dyDescent="0.2">
      <c r="L226" s="1"/>
      <c r="M226" s="1"/>
      <c r="P226" s="1"/>
    </row>
    <row r="227" spans="12:16" x14ac:dyDescent="0.2">
      <c r="L227" s="1"/>
      <c r="M227" s="1"/>
      <c r="P227" s="1"/>
    </row>
    <row r="228" spans="12:16" x14ac:dyDescent="0.2">
      <c r="L228" s="1"/>
      <c r="M228" s="1"/>
      <c r="P228" s="1"/>
    </row>
    <row r="229" spans="12:16" x14ac:dyDescent="0.2">
      <c r="L229" s="1"/>
      <c r="M229" s="1"/>
      <c r="P229" s="1"/>
    </row>
    <row r="230" spans="12:16" x14ac:dyDescent="0.2">
      <c r="L230" s="1"/>
      <c r="M230" s="1"/>
      <c r="P230" s="1"/>
    </row>
    <row r="231" spans="12:16" x14ac:dyDescent="0.2">
      <c r="L231" s="1"/>
      <c r="M231" s="1"/>
      <c r="P231" s="1"/>
    </row>
    <row r="232" spans="12:16" x14ac:dyDescent="0.2">
      <c r="L232" s="1"/>
      <c r="M232" s="1"/>
      <c r="P232" s="1"/>
    </row>
    <row r="233" spans="12:16" x14ac:dyDescent="0.2">
      <c r="L233" s="1"/>
      <c r="M233" s="1"/>
      <c r="P233" s="1"/>
    </row>
    <row r="234" spans="12:16" x14ac:dyDescent="0.2">
      <c r="L234" s="1"/>
      <c r="M234" s="1"/>
      <c r="P234" s="1"/>
    </row>
    <row r="235" spans="12:16" x14ac:dyDescent="0.2">
      <c r="L235" s="1"/>
      <c r="M235" s="1"/>
      <c r="P235" s="1"/>
    </row>
    <row r="236" spans="12:16" x14ac:dyDescent="0.2">
      <c r="L236" s="1"/>
      <c r="M236" s="1"/>
      <c r="P236" s="1"/>
    </row>
    <row r="237" spans="12:16" x14ac:dyDescent="0.2">
      <c r="L237" s="1"/>
      <c r="M237" s="1"/>
      <c r="P237" s="1"/>
    </row>
    <row r="238" spans="12:16" x14ac:dyDescent="0.2">
      <c r="L238" s="1"/>
      <c r="M238" s="1"/>
      <c r="P238" s="1"/>
    </row>
    <row r="239" spans="12:16" x14ac:dyDescent="0.2">
      <c r="L239" s="1"/>
      <c r="M239" s="1"/>
      <c r="P239" s="1"/>
    </row>
    <row r="240" spans="12:16" x14ac:dyDescent="0.2">
      <c r="L240" s="1"/>
      <c r="M240" s="1"/>
      <c r="P240" s="1"/>
    </row>
    <row r="241" spans="12:16" x14ac:dyDescent="0.2">
      <c r="L241" s="1"/>
      <c r="M241" s="1"/>
      <c r="P241" s="1"/>
    </row>
    <row r="242" spans="12:16" x14ac:dyDescent="0.2">
      <c r="L242" s="1"/>
      <c r="M242" s="1"/>
      <c r="P242" s="1"/>
    </row>
    <row r="243" spans="12:16" x14ac:dyDescent="0.2">
      <c r="L243" s="1"/>
      <c r="M243" s="1"/>
      <c r="P243" s="1"/>
    </row>
    <row r="244" spans="12:16" x14ac:dyDescent="0.2">
      <c r="L244" s="1"/>
      <c r="M244" s="1"/>
      <c r="P244" s="1"/>
    </row>
    <row r="245" spans="12:16" x14ac:dyDescent="0.2">
      <c r="L245" s="1"/>
      <c r="M245" s="1"/>
      <c r="P245" s="1"/>
    </row>
    <row r="246" spans="12:16" x14ac:dyDescent="0.2">
      <c r="L246" s="1"/>
      <c r="M246" s="1"/>
      <c r="P246" s="1"/>
    </row>
    <row r="247" spans="12:16" x14ac:dyDescent="0.2">
      <c r="L247" s="1"/>
      <c r="M247" s="1"/>
      <c r="P247" s="1"/>
    </row>
    <row r="248" spans="12:16" x14ac:dyDescent="0.2">
      <c r="L248" s="1"/>
      <c r="M248" s="1"/>
      <c r="P248" s="1"/>
    </row>
    <row r="249" spans="12:16" x14ac:dyDescent="0.2">
      <c r="L249" s="1"/>
      <c r="M249" s="1"/>
      <c r="P249" s="1"/>
    </row>
    <row r="250" spans="12:16" x14ac:dyDescent="0.2">
      <c r="L250" s="1"/>
      <c r="M250" s="1"/>
      <c r="P250" s="1"/>
    </row>
    <row r="251" spans="12:16" x14ac:dyDescent="0.2">
      <c r="L251" s="1"/>
      <c r="M251" s="1"/>
      <c r="P251" s="1"/>
    </row>
    <row r="252" spans="12:16" x14ac:dyDescent="0.2">
      <c r="L252" s="1"/>
      <c r="M252" s="1"/>
      <c r="P252" s="1"/>
    </row>
    <row r="253" spans="12:16" x14ac:dyDescent="0.2">
      <c r="L253" s="1"/>
      <c r="M253" s="1"/>
      <c r="P253" s="1"/>
    </row>
    <row r="254" spans="12:16" x14ac:dyDescent="0.2">
      <c r="L254" s="1"/>
      <c r="M254" s="1"/>
      <c r="P254" s="1"/>
    </row>
    <row r="255" spans="12:16" x14ac:dyDescent="0.2">
      <c r="L255" s="1"/>
      <c r="M255" s="1"/>
      <c r="P255" s="1"/>
    </row>
    <row r="256" spans="12:16" x14ac:dyDescent="0.2">
      <c r="L256" s="1"/>
      <c r="M256" s="1"/>
      <c r="P256" s="1"/>
    </row>
    <row r="257" spans="12:16" x14ac:dyDescent="0.2">
      <c r="L257" s="1"/>
      <c r="M257" s="1"/>
      <c r="P257" s="1"/>
    </row>
    <row r="258" spans="12:16" x14ac:dyDescent="0.2">
      <c r="L258" s="1"/>
      <c r="M258" s="1"/>
      <c r="P258" s="1"/>
    </row>
    <row r="259" spans="12:16" x14ac:dyDescent="0.2">
      <c r="L259" s="1"/>
      <c r="M259" s="1"/>
      <c r="P259" s="1"/>
    </row>
    <row r="260" spans="12:16" x14ac:dyDescent="0.2">
      <c r="L260" s="1"/>
      <c r="M260" s="1"/>
      <c r="P260" s="1"/>
    </row>
    <row r="261" spans="12:16" x14ac:dyDescent="0.2">
      <c r="L261" s="1"/>
      <c r="M261" s="1"/>
      <c r="P261" s="1"/>
    </row>
    <row r="262" spans="12:16" x14ac:dyDescent="0.2">
      <c r="L262" s="1"/>
      <c r="M262" s="1"/>
      <c r="P262" s="1"/>
    </row>
    <row r="263" spans="12:16" x14ac:dyDescent="0.2">
      <c r="L263" s="1"/>
      <c r="M263" s="1"/>
      <c r="P263" s="1"/>
    </row>
    <row r="264" spans="12:16" x14ac:dyDescent="0.2">
      <c r="L264" s="1"/>
      <c r="M264" s="1"/>
      <c r="P264" s="1"/>
    </row>
    <row r="265" spans="12:16" x14ac:dyDescent="0.2">
      <c r="L265" s="1"/>
      <c r="M265" s="1"/>
      <c r="P265" s="1"/>
    </row>
    <row r="266" spans="12:16" x14ac:dyDescent="0.2">
      <c r="L266" s="1"/>
      <c r="M266" s="1"/>
      <c r="P266" s="1"/>
    </row>
    <row r="267" spans="12:16" x14ac:dyDescent="0.2">
      <c r="L267" s="1"/>
      <c r="M267" s="1"/>
      <c r="P267" s="1"/>
    </row>
    <row r="268" spans="12:16" x14ac:dyDescent="0.2">
      <c r="L268" s="1"/>
      <c r="M268" s="1"/>
      <c r="P268" s="1"/>
    </row>
    <row r="269" spans="12:16" x14ac:dyDescent="0.2">
      <c r="L269" s="1"/>
      <c r="M269" s="1"/>
      <c r="P269" s="1"/>
    </row>
    <row r="270" spans="12:16" x14ac:dyDescent="0.2">
      <c r="L270" s="1"/>
      <c r="M270" s="1"/>
      <c r="P270" s="1"/>
    </row>
    <row r="271" spans="12:16" x14ac:dyDescent="0.2">
      <c r="L271" s="1"/>
      <c r="M271" s="1"/>
      <c r="P271" s="1"/>
    </row>
    <row r="272" spans="12:16" x14ac:dyDescent="0.2">
      <c r="L272" s="1"/>
      <c r="M272" s="1"/>
      <c r="P272" s="1"/>
    </row>
    <row r="273" spans="12:16" x14ac:dyDescent="0.2">
      <c r="L273" s="1"/>
      <c r="M273" s="1"/>
      <c r="P273" s="1"/>
    </row>
    <row r="274" spans="12:16" x14ac:dyDescent="0.2">
      <c r="L274" s="1"/>
      <c r="M274" s="1"/>
      <c r="P274" s="1"/>
    </row>
    <row r="275" spans="12:16" x14ac:dyDescent="0.2">
      <c r="L275" s="1"/>
      <c r="M275" s="1"/>
      <c r="P275" s="1"/>
    </row>
    <row r="276" spans="12:16" x14ac:dyDescent="0.2">
      <c r="L276" s="1"/>
      <c r="M276" s="1"/>
      <c r="P276" s="1"/>
    </row>
    <row r="277" spans="12:16" x14ac:dyDescent="0.2">
      <c r="L277" s="1"/>
      <c r="M277" s="1"/>
      <c r="P277" s="1"/>
    </row>
    <row r="278" spans="12:16" x14ac:dyDescent="0.2">
      <c r="L278" s="1"/>
      <c r="M278" s="1"/>
      <c r="P278" s="1"/>
    </row>
    <row r="279" spans="12:16" x14ac:dyDescent="0.2">
      <c r="L279" s="1"/>
      <c r="M279" s="1"/>
      <c r="P279" s="1"/>
    </row>
    <row r="280" spans="12:16" x14ac:dyDescent="0.2">
      <c r="L280" s="1"/>
      <c r="M280" s="1"/>
      <c r="P280" s="1"/>
    </row>
    <row r="281" spans="12:16" x14ac:dyDescent="0.2">
      <c r="L281" s="1"/>
      <c r="M281" s="1"/>
      <c r="P281" s="1"/>
    </row>
    <row r="282" spans="12:16" x14ac:dyDescent="0.2">
      <c r="L282" s="1"/>
      <c r="M282" s="1"/>
      <c r="P282" s="1"/>
    </row>
    <row r="283" spans="12:16" x14ac:dyDescent="0.2">
      <c r="L283" s="1"/>
      <c r="M283" s="1"/>
      <c r="P283" s="1"/>
    </row>
  </sheetData>
  <mergeCells count="1">
    <mergeCell ref="Z1:AD1"/>
  </mergeCells>
  <pageMargins left="0.7" right="0.7" top="0.75" bottom="0.75" header="0.3" footer="0.3"/>
  <pageSetup paperSize="9" orientation="portrait" horizontalDpi="300" verticalDpi="3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F21AE9322E195A4B97628D774E8EAA26" ma:contentTypeVersion="10" ma:contentTypeDescription="Luo uusi asiakirja." ma:contentTypeScope="" ma:versionID="1cf66fbcf92115ac8a065f042915adc3">
  <xsd:schema xmlns:xsd="http://www.w3.org/2001/XMLSchema" xmlns:xs="http://www.w3.org/2001/XMLSchema" xmlns:p="http://schemas.microsoft.com/office/2006/metadata/properties" xmlns:ns2="06f701b2-b831-4bed-9c34-68612e60dc4e" targetNamespace="http://schemas.microsoft.com/office/2006/metadata/properties" ma:root="true" ma:fieldsID="addd53b890f6f40c6d07600f5c527df1" ns2:_="">
    <xsd:import namespace="06f701b2-b831-4bed-9c34-68612e60dc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f701b2-b831-4bed-9c34-68612e60dc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2ED7C8-FBD2-4F4E-9FF1-15AEE6C2F7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f701b2-b831-4bed-9c34-68612e60dc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9DDED1-ED51-4080-BA88-502A5D50EB8D}">
  <ds:schemaRefs>
    <ds:schemaRef ds:uri="06f701b2-b831-4bed-9c34-68612e60dc4e"/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7BF7F69-F1B5-45B7-9AB3-D39F35BFF1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1</vt:i4>
      </vt:variant>
    </vt:vector>
  </HeadingPairs>
  <TitlesOfParts>
    <vt:vector size="5" baseType="lpstr">
      <vt:lpstr>Investoinnit 2020 Vanha</vt:lpstr>
      <vt:lpstr>Investoinnit 6_2022_Esitys</vt:lpstr>
      <vt:lpstr>Investoinnit 6_2022</vt:lpstr>
      <vt:lpstr>Investoinnit 2022</vt:lpstr>
      <vt:lpstr>'Investoinnit 2020 Vanha'!Tulostusalue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Investoinnit2</dc:title>
  <dc:subject/>
  <dc:creator>Laakkonen Merja</dc:creator>
  <cp:keywords/>
  <dc:description/>
  <cp:lastModifiedBy>Kohonen Aki</cp:lastModifiedBy>
  <cp:revision/>
  <dcterms:created xsi:type="dcterms:W3CDTF">2008-11-12T10:50:32Z</dcterms:created>
  <dcterms:modified xsi:type="dcterms:W3CDTF">2022-08-24T06:49:33Z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0x010100F21AE9322E195A4B97628D774E8EAA26</vt:lpwstr>
  </property>
</Properties>
</file>